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955" activeTab="2"/>
  </bookViews>
  <sheets>
    <sheet name="LUONGNGAY" sheetId="1" r:id="rId1"/>
    <sheet name="He so chung" sheetId="2" r:id="rId2"/>
    <sheet name="1_DONGIACAMOC" sheetId="3" r:id="rId3"/>
    <sheet name="2_NHANCONGTOANĐAC" sheetId="4" r:id="rId4"/>
    <sheet name="3-DUNGCU" sheetId="5" r:id="rId5"/>
    <sheet name="4-VLIEU" sheetId="6" r:id="rId6"/>
    <sheet name="5-THIETBI" sheetId="7" r:id="rId7"/>
    <sheet name="ĐMNHANCONGTOANĐAC" sheetId="8" r:id="rId8"/>
    <sheet name="ĐMDUNGCU" sheetId="9" r:id="rId9"/>
    <sheet name="ĐMVLIEU" sheetId="10" r:id="rId10"/>
    <sheet name="ĐMTHIETBI " sheetId="11" r:id="rId11"/>
    <sheet name="Sheet4" sheetId="12" r:id="rId12"/>
    <sheet name="Sheet3" sheetId="13" r:id="rId13"/>
  </sheets>
  <externalReferences>
    <externalReference r:id="rId16"/>
    <externalReference r:id="rId17"/>
    <externalReference r:id="rId18"/>
  </externalReferences>
  <definedNames>
    <definedName name="DGTH1" localSheetId="4">INDEX('[1]DGCT'!$C$15:$L$484,MATCH('3-DUNGCU'!$B1,'[1]DGCT'!$C$15:$C$484,0),'3-DUNGCU'!#REF!)</definedName>
    <definedName name="DGTH1" localSheetId="5">INDEX('[1]DGCT'!$C$15:$L$484,MATCH('4-VLIEU'!$B1,'[1]DGCT'!$C$15:$C$484,0),'4-VLIEU'!#REF!)</definedName>
    <definedName name="DGTH1" localSheetId="6">INDEX('[1]DGCT'!$C$15:$L$484,MATCH('5-THIETBI'!$B1,'[1]DGCT'!$C$15:$C$484,0),'5-THIETBI'!A$7)</definedName>
    <definedName name="DGTH1" localSheetId="8">INDEX('[1]DGCT'!$C$15:$L$484,MATCH('ĐMDUNGCU'!$B1,'[1]DGCT'!$C$15:$C$484,0),'ĐMDUNGCU'!#REF!)</definedName>
    <definedName name="DGTH1" localSheetId="10">INDEX('[1]DGCT'!$C$15:$L$484,MATCH('ĐMTHIETBI '!$B1,'[1]DGCT'!$C$15:$C$484,0),'ĐMTHIETBI '!A$4)</definedName>
    <definedName name="DGTH1" localSheetId="9">INDEX('[1]DGCT'!$C$15:$L$484,MATCH('ĐMVLIEU'!$B1,'[1]DGCT'!$C$15:$C$484,0),'ĐMVLIEU'!#REF!)</definedName>
    <definedName name="_xlnm.Print_Titles" localSheetId="2">'1_DONGIACAMOC'!$4:$5</definedName>
    <definedName name="_xlnm.Print_Titles" localSheetId="3">'2_NHANCONGTOANĐAC'!$3:$4</definedName>
    <definedName name="_xlnm.Print_Titles" localSheetId="7">'ĐMNHANCONGTOANĐAC'!$3:$4</definedName>
  </definedNames>
  <calcPr fullCalcOnLoad="1"/>
</workbook>
</file>

<file path=xl/sharedStrings.xml><?xml version="1.0" encoding="utf-8"?>
<sst xmlns="http://schemas.openxmlformats.org/spreadsheetml/2006/main" count="745" uniqueCount="244">
  <si>
    <t>STT</t>
  </si>
  <si>
    <t>I</t>
  </si>
  <si>
    <t>II</t>
  </si>
  <si>
    <t>Đơn vị tính</t>
  </si>
  <si>
    <t>Ghi chú</t>
  </si>
  <si>
    <t>3</t>
  </si>
  <si>
    <t>Lái xe</t>
  </si>
  <si>
    <t>C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</si>
  <si>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</si>
  <si>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</si>
  <si>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</si>
  <si>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</si>
  <si>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</si>
  <si>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</si>
  <si>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</si>
  <si>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</si>
  <si>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</si>
  <si>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Kỹ thuật viên</t>
  </si>
  <si>
    <t>B</t>
  </si>
  <si>
    <t>2</t>
  </si>
  <si>
    <t>2,34</t>
  </si>
  <si>
    <t>1</t>
  </si>
  <si>
    <t xml:space="preserve"> Kỹ sư </t>
  </si>
  <si>
    <t>A</t>
  </si>
  <si>
    <t>ngày</t>
  </si>
  <si>
    <t xml:space="preserve"> đồng </t>
  </si>
  <si>
    <t>2,67</t>
  </si>
  <si>
    <t>3,00</t>
  </si>
  <si>
    <t>3,33</t>
  </si>
  <si>
    <t>3,66</t>
  </si>
  <si>
    <t>3,99</t>
  </si>
  <si>
    <t>4,32</t>
  </si>
  <si>
    <t>4,65</t>
  </si>
  <si>
    <t>2,26</t>
  </si>
  <si>
    <t>2,46</t>
  </si>
  <si>
    <t>2,66</t>
  </si>
  <si>
    <t>2,86</t>
  </si>
  <si>
    <t>3,06</t>
  </si>
  <si>
    <t>3,26</t>
  </si>
  <si>
    <t>3,46</t>
  </si>
  <si>
    <t>3,86</t>
  </si>
  <si>
    <t>4,06</t>
  </si>
  <si>
    <t>2,41</t>
  </si>
  <si>
    <t>Lương tối thiểu chung:</t>
  </si>
  <si>
    <t>Số TT</t>
  </si>
  <si>
    <t>Bậc lương</t>
  </si>
  <si>
    <t>Hệ số</t>
  </si>
  <si>
    <t>Lương
cấp bậc</t>
  </si>
  <si>
    <t>Lương phụ
(11%)</t>
  </si>
  <si>
    <t>Phụ cấp
lưu động
(0,4)</t>
  </si>
  <si>
    <t>Phụ cấp
trách nhiệm
(0,2/5)</t>
  </si>
  <si>
    <t>PC độc hại,
nguy hiểm
(0,2)</t>
  </si>
  <si>
    <t>BHXH, BHYT,
KPCĐ, BHTN
(24%)</t>
  </si>
  <si>
    <t>Lương
tháng</t>
  </si>
  <si>
    <t>Lương
ngày</t>
  </si>
  <si>
    <t>Ngoại nghiệp</t>
  </si>
  <si>
    <t>Nội nghiệp</t>
  </si>
  <si>
    <t>CÁC MỨC CHỈ TIÊU, HỆ SỐ CHỦ YẾU ÁP DỤNG TRONG TÍNH TOÁN ĐƠN GIÁ</t>
  </si>
  <si>
    <t>Nội dung</t>
  </si>
  <si>
    <t>Mức áp dụng</t>
  </si>
  <si>
    <t>Lương tối thiểu chung</t>
  </si>
  <si>
    <t>đồng/tháng</t>
  </si>
  <si>
    <t>Lương phụ</t>
  </si>
  <si>
    <t>%</t>
  </si>
  <si>
    <t>Trên lương cấp bậc</t>
  </si>
  <si>
    <t>Phụ cấp lưu động</t>
  </si>
  <si>
    <t>Trên lương tối thiểu chung</t>
  </si>
  <si>
    <t>Phụ cấp trách nhiệm</t>
  </si>
  <si>
    <t>Trên lương tối thiểu, tính cho tổ 5 người</t>
  </si>
  <si>
    <t>Phụ cấp độc hại, nguy hiểm</t>
  </si>
  <si>
    <t>BHXH - BHYT - KPCĐ - BH thất nghiệp</t>
  </si>
  <si>
    <t>Số ngày làm việc trong tháng</t>
  </si>
  <si>
    <t>Đơn giá tiền công LĐPT khu vực nông thôn</t>
  </si>
  <si>
    <t>đồng/ngày</t>
  </si>
  <si>
    <t>Đơn giá tiền công LĐPT khu vực đô thị</t>
  </si>
  <si>
    <t xml:space="preserve">Hệ số mức do thời tiết </t>
  </si>
  <si>
    <t>Áp dụng cho công tác ngoại nghiệp</t>
  </si>
  <si>
    <t>Hệ số tính các khoản đóng góp trên phụ cấp khu vực</t>
  </si>
  <si>
    <t xml:space="preserve">Tỷ lệ tính chi phí chung </t>
  </si>
  <si>
    <t xml:space="preserve">                 Ngoại nghiệp </t>
  </si>
  <si>
    <t>Quy định tại Thông tư liên tịch số 04/TTLT-BTNMT-BTC ngày 27/2/2007</t>
  </si>
  <si>
    <t xml:space="preserve">                 Nội nghiệp</t>
  </si>
  <si>
    <t>Phụ cấp khu vực (mức 0,1) cho 1 ngày công ngoại nghiệp</t>
  </si>
  <si>
    <t>Được tính bằng: Mức lương tối thiểu chung x 0,1/Số ngày làm việc trong tháng x (1 + Tỷ lệ tính chi phí chung) x (1 + Tỷ lệ trích các khoản phải đóng góp được tính trên phụ cấp khu vực)</t>
  </si>
  <si>
    <t xml:space="preserve">    Trong đó: - Chi phí trực tiếp</t>
  </si>
  <si>
    <t xml:space="preserve">                     - Chi phí chung</t>
  </si>
  <si>
    <t>Phụ cấp khu vực (mức 0,1) cho 1 ngày công nội nghiệp</t>
  </si>
  <si>
    <t>`</t>
  </si>
  <si>
    <t>Nhập tọa độ mốc vào máy đo</t>
  </si>
  <si>
    <t>Nội dung công việc</t>
  </si>
  <si>
    <t>Đo hoàn công mốc</t>
  </si>
  <si>
    <t>Công tác chuẩn bị</t>
  </si>
  <si>
    <t>-</t>
  </si>
  <si>
    <t>Cộng</t>
  </si>
  <si>
    <t>Xác định tọa độ mốc trên bản vẽ</t>
  </si>
  <si>
    <t>Dụng cụ</t>
  </si>
  <si>
    <t>Chi phí trực tiếp</t>
  </si>
  <si>
    <t>Mốc</t>
  </si>
  <si>
    <t>Đất cấp 4</t>
  </si>
  <si>
    <t>PCKV:</t>
  </si>
  <si>
    <t>Đơn vị tính: đồng</t>
  </si>
  <si>
    <t>Tên sản phẩm</t>
  </si>
  <si>
    <t>PCKV 0,1</t>
  </si>
  <si>
    <t>PCKV 0,1 (CPTT)</t>
  </si>
  <si>
    <t>PCKV 0,1 (CP chung)</t>
  </si>
  <si>
    <t>LĐKT</t>
  </si>
  <si>
    <t>LĐPT</t>
  </si>
  <si>
    <t>PCKV</t>
  </si>
  <si>
    <t xml:space="preserve">Vật liệu </t>
  </si>
  <si>
    <t>N. lượng</t>
  </si>
  <si>
    <t>mốc</t>
  </si>
  <si>
    <t xml:space="preserve">   Đ.Mức   công</t>
  </si>
  <si>
    <t>Cấp địa hình</t>
  </si>
  <si>
    <t>1-6</t>
  </si>
  <si>
    <t>Đất cấp 1</t>
  </si>
  <si>
    <t>Đất cấp 2</t>
  </si>
  <si>
    <t>Đất cấp 3</t>
  </si>
  <si>
    <t>Bảng 6</t>
  </si>
  <si>
    <t>Định biên</t>
  </si>
  <si>
    <t>ĐO ĐẠC, ĐỊNH VỊ TỌA ĐỘ MỐC</t>
  </si>
  <si>
    <t>Lưới khống chế đo vẽ, điểm trạm đo</t>
  </si>
  <si>
    <t>Đo đạc, định vị mốc, cắm cọc gỗ tại thực địa</t>
  </si>
  <si>
    <t>hệ số</t>
  </si>
  <si>
    <t>Lập bản đồ, hồ sơ hoàn công</t>
  </si>
  <si>
    <t>1 KTV 6</t>
  </si>
  <si>
    <t>Xác nhận hồ sơ, giao nộp thành quả</t>
  </si>
  <si>
    <t>Phục vụ kiểm tra nghiệm thu ngoại nghiệp</t>
  </si>
  <si>
    <t>Phục vụ kiểm tra nghiệm thu hồ sơ</t>
  </si>
  <si>
    <t>Lương ngày (Đồng)</t>
  </si>
  <si>
    <t>Thành tiền (Đồng)</t>
  </si>
  <si>
    <t xml:space="preserve"> Định mức            (Công)  </t>
  </si>
  <si>
    <t xml:space="preserve"> 1 KTV6</t>
  </si>
  <si>
    <t>1 KTV4</t>
  </si>
  <si>
    <t>Nhóm 1 KTV3</t>
  </si>
  <si>
    <t>Nhóm 1KTV3</t>
  </si>
  <si>
    <t>Đắp đất chôn mốc</t>
  </si>
  <si>
    <t>Độ chặt yêu cầu K=0,85</t>
  </si>
  <si>
    <t>Độ chặt yêu cầu K=0,90</t>
  </si>
  <si>
    <t>Độ chặt yêu cầu K=0,95</t>
  </si>
  <si>
    <r>
      <t xml:space="preserve">Đào đất chôn mốc (Rộng, sâu </t>
    </r>
    <r>
      <rPr>
        <sz val="13"/>
        <rFont val="Calibri"/>
        <family val="2"/>
      </rPr>
      <t>≤</t>
    </r>
    <r>
      <rPr>
        <sz val="9.75"/>
        <rFont val="Times New Roman"/>
        <family val="1"/>
      </rPr>
      <t xml:space="preserve"> 1m)</t>
    </r>
  </si>
  <si>
    <t>Tổng hợp định mức công nhóm</t>
  </si>
  <si>
    <t>Tổng hợp theo công nhóm</t>
  </si>
  <si>
    <t xml:space="preserve"> 1 KTV 6</t>
  </si>
  <si>
    <t>Lập bản đồ hoàn công</t>
  </si>
  <si>
    <t>Biên tập, in ấn bản đồ và hồ sơ hoàn công</t>
  </si>
  <si>
    <t xml:space="preserve"> Chi phí chung</t>
  </si>
  <si>
    <t>Tổng đơn giá đo đạc, cắm mốc GPMB phục vụ công tác thu hồi đất, giao đất (Đào đất cấp 2, đắp đất chôn mốc có độ chặt yêu cầu K=0,9)</t>
  </si>
  <si>
    <t>TT</t>
  </si>
  <si>
    <t xml:space="preserve">Danh mục </t>
  </si>
  <si>
    <t>Số lượng</t>
  </si>
  <si>
    <t>Nguyên giá thiết bị (đồng)</t>
  </si>
  <si>
    <t>Khấu hao ca máy (đồng/ca)</t>
  </si>
  <si>
    <t>Định mức (Ca/điểm)</t>
  </si>
  <si>
    <t>Định mức (Ca/mốc)</t>
  </si>
  <si>
    <t>Máy toàn đạc điện tử</t>
  </si>
  <si>
    <t>Bộ</t>
  </si>
  <si>
    <t>Cái</t>
  </si>
  <si>
    <t>Bảng 11</t>
  </si>
  <si>
    <t>Đơn giá (Đồng)</t>
  </si>
  <si>
    <t>Định mức</t>
  </si>
  <si>
    <t>Quyển</t>
  </si>
  <si>
    <t>Sổ ghi chép</t>
  </si>
  <si>
    <t>Cọc gỗ</t>
  </si>
  <si>
    <t>DỤNG CỤ</t>
  </si>
  <si>
    <t>Thời hạn (Tháng)</t>
  </si>
  <si>
    <t>Đơn giá dụng cụ (Đồng)</t>
  </si>
  <si>
    <t>Đơn giá ca máy (Đồng/ca)</t>
  </si>
  <si>
    <t>Đào đất chôn mốc</t>
  </si>
  <si>
    <t>Định mức (ca/mốc)</t>
  </si>
  <si>
    <t xml:space="preserve"> Thành tiền   (đồng) </t>
  </si>
  <si>
    <t>Định mức (ca/điểm)</t>
  </si>
  <si>
    <t>Cuốc chim (Cúp)</t>
  </si>
  <si>
    <t>Xẻng</t>
  </si>
  <si>
    <t>Xà beng</t>
  </si>
  <si>
    <t>Búa</t>
  </si>
  <si>
    <t xml:space="preserve">Máy vi tính </t>
  </si>
  <si>
    <t xml:space="preserve"> VẬT LIỆU ĐO ĐẠC, ĐỊNH VỊ MỐC  </t>
  </si>
  <si>
    <t xml:space="preserve">Sổ đo các loại </t>
  </si>
  <si>
    <t>Máy, thiết bị thi công</t>
  </si>
  <si>
    <t xml:space="preserve"> THIẾT BỊ ĐO ĐẠC, CẮM MỐC GPMB </t>
  </si>
  <si>
    <t>Giầy cao cổ</t>
  </si>
  <si>
    <t>Mũ cứng</t>
  </si>
  <si>
    <t>Đôi</t>
  </si>
  <si>
    <t>Túi đựng tài liệu</t>
  </si>
  <si>
    <t>Thước thép cuộn 2m</t>
  </si>
  <si>
    <t>Ô che máy</t>
  </si>
  <si>
    <t>cái</t>
  </si>
  <si>
    <t>Máy bộ đàm</t>
  </si>
  <si>
    <t>Đinh sắt 10,15cm &amp; đệm</t>
  </si>
  <si>
    <t>Mức trên tính cho địa hình cấp 3, mức cho các loại địa hình khác tính theo hệ số như sau:</t>
  </si>
  <si>
    <t>Địa hình cấp 1:</t>
  </si>
  <si>
    <t>Địa hình cấp 2:</t>
  </si>
  <si>
    <t>Địa hình cấp 3:</t>
  </si>
  <si>
    <t>Địa hình cấp 4:</t>
  </si>
  <si>
    <t>Địa hình cấp 5:</t>
  </si>
  <si>
    <t>Địa hình cấp 6:</t>
  </si>
  <si>
    <t>Biên tập, in ấn bản đồ hoàn công</t>
  </si>
  <si>
    <t xml:space="preserve"> Đơn giá sản phẩm</t>
  </si>
  <si>
    <t>Giấy A4 (nội)</t>
  </si>
  <si>
    <t>Giấy Ao loại 100g/m2</t>
  </si>
  <si>
    <t>Ram</t>
  </si>
  <si>
    <t>Tờ</t>
  </si>
  <si>
    <t>BHXH, BHYT,
KPCĐ, BHTN
(23,5%)</t>
  </si>
  <si>
    <t>CÔNG TÁC ĐO ĐẠC, ĐỊNH VỊ, CẮM MỐC GPMB</t>
  </si>
  <si>
    <t>BẢNG LƯƠNG NGÀY CỦA CÔNG TÁC ĐO ĐẠC, CẮM MỐC GIẢI PHÓNG MẶT BẰNG</t>
  </si>
  <si>
    <t>Bảng 1</t>
  </si>
  <si>
    <t>ĐƠN GIÁ SẢN PHẨM ĐO ĐẠC, CẮM MỐC GPMB PHỤC VỤ THU HỒI ĐẤT, GIAO ĐẤT</t>
  </si>
  <si>
    <t>Vận chuyển mốc từ điểm tập kết mốc đến nơi chôn mốc</t>
  </si>
  <si>
    <t>Điểm</t>
  </si>
  <si>
    <t>ĐVT</t>
  </si>
  <si>
    <t xml:space="preserve">Đào đất chôn mốc </t>
  </si>
  <si>
    <t>Bảng 2</t>
  </si>
  <si>
    <t>Bảng 4</t>
  </si>
  <si>
    <t>NHÂN CÔNG ĐO ĐẠC, CẮM MỐC GIẢI PHÓNG MẶT BẰNG</t>
  </si>
  <si>
    <t>Bảng 5</t>
  </si>
  <si>
    <t>Bảng 7</t>
  </si>
  <si>
    <t>Bảng 8</t>
  </si>
  <si>
    <t>Bảng 9</t>
  </si>
  <si>
    <t xml:space="preserve">ĐỊNH MỨC NHÂN CÔNG ĐO ĐẠC, CẮM MỐC GPMB </t>
  </si>
  <si>
    <t>ĐỊNH MỨC DỤNG CỤ ĐO ĐẠC, CẮM MỐC GPMB</t>
  </si>
  <si>
    <t>Lưới khống chế đo vẽ, điểm trạm đo (ca/mốc)</t>
  </si>
  <si>
    <t>Đo đạc, định vị mốc, cắm cọc gỗ tại thực địa (ca/mốc)</t>
  </si>
  <si>
    <t>Đo hoàn công mốc          (ca/mốc)</t>
  </si>
  <si>
    <t>Bảng 10</t>
  </si>
  <si>
    <t xml:space="preserve">Biên tập, in ấn bản đồ hoàn công              </t>
  </si>
  <si>
    <t xml:space="preserve"> VẬT LIỆU ĐO ĐẠC, CẮM MỐC GPMB   </t>
  </si>
  <si>
    <t>Lưới khống chế đo vẽ, điểm trạm đoĐịnh mức (Ca/điểm)</t>
  </si>
  <si>
    <t>Biên tập, in ấn bản đồ hoàn côngĐịnh mức (Ca/mốc)</t>
  </si>
  <si>
    <t>Nhập tọa độ mốc vào máy đoĐịnh mức (Ca/mốc)</t>
  </si>
  <si>
    <t>Đo đạc, định vị mốc, cắm cọc gỗ tại thực địaĐịnh mức (Ca/mốc)</t>
  </si>
  <si>
    <t>Đo hoàn công mốcĐịnh mức (Ca/mốc)</t>
  </si>
  <si>
    <t>Bảng 18</t>
  </si>
  <si>
    <r>
      <t xml:space="preserve">Vận chuyển mốc từ điểm tập kết mốc đến nơi chôn mốc                                (có khoảng cách </t>
    </r>
    <r>
      <rPr>
        <sz val="13"/>
        <rFont val="Calibri"/>
        <family val="2"/>
      </rPr>
      <t>≤</t>
    </r>
    <r>
      <rPr>
        <sz val="9.75"/>
        <rFont val="Times New Roman"/>
        <family val="1"/>
      </rPr>
      <t xml:space="preserve"> 50m)</t>
    </r>
  </si>
  <si>
    <t>Ghi chú: Chi phí chung của công tác đo đạc, định vị, cắm mốc giải phóng mặt bằng được tính mức 70% của chi phí nhân công trong chi phí trức tiếp.</t>
  </si>
  <si>
    <t>Nhóm 5 (1KS4+2KTV6+2KTV4)</t>
  </si>
  <si>
    <t>Nhóm 4                                       (1KS4+1KTV4+2KTV6)</t>
  </si>
  <si>
    <t>1KTV3</t>
  </si>
  <si>
    <t xml:space="preserve"> 1 KTV3</t>
  </si>
  <si>
    <t xml:space="preserve">SẢN XUẤT MỐC GPMB (Mốc bê tông có kích thước (10 x 10 x 80)cm;                                đế mốc (30 x 30 x 10)cm
</t>
  </si>
  <si>
    <r>
      <t xml:space="preserve">Vận chuyển mốc từ điểm tập kết mốc đến nơi chôn mốc (có khoảng cách </t>
    </r>
    <r>
      <rPr>
        <sz val="13"/>
        <rFont val="Calibri"/>
        <family val="2"/>
      </rPr>
      <t>≤</t>
    </r>
    <r>
      <rPr>
        <sz val="9.75"/>
        <rFont val=".VnTime"/>
        <family val="1"/>
      </rPr>
      <t xml:space="preserve"> 50m)</t>
    </r>
  </si>
  <si>
    <r>
      <t xml:space="preserve">Đào đất chôn mốc (Rộng, sâu </t>
    </r>
    <r>
      <rPr>
        <sz val="13"/>
        <rFont val="Calibri"/>
        <family val="2"/>
      </rPr>
      <t>≤</t>
    </r>
    <r>
      <rPr>
        <sz val="9.75"/>
        <rFont val=".VnTime"/>
        <family val="1"/>
      </rPr>
      <t xml:space="preserve"> 1m)</t>
    </r>
  </si>
  <si>
    <t>Đào đất chôn mốc             (ca/mốc)</t>
  </si>
  <si>
    <r>
      <t>Biên tập, in ấn bản đồ hoàn công                        (Địa hình cấp 1</t>
    </r>
    <r>
      <rPr>
        <b/>
        <sz val="12"/>
        <rFont val="Calibri"/>
        <family val="2"/>
      </rPr>
      <t>÷</t>
    </r>
    <r>
      <rPr>
        <b/>
        <sz val="12"/>
        <rFont val="Times New Roman"/>
        <family val="1"/>
      </rPr>
      <t>6)</t>
    </r>
  </si>
  <si>
    <t>Đắp đất chôn mốc                 (ca/mốc)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</si>
</sst>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  <numFmt numFmtId="178" formatCode="_(* #,##0_);_(* \(#,##0\);_(* &quot;-&quot;??_);_(@_)"/>
    <numFmt numFmtId="179" formatCode="_-* #,##0\ _₫_-;\-* #,##0\ _₫_-;_-* &quot;-&quot;??\ _₫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0"/>
    <numFmt numFmtId="187" formatCode="0.000000000"/>
    <numFmt numFmtId="188" formatCode="0.00000000000"/>
    <numFmt numFmtId="189" formatCode="#,##0.000"/>
    <numFmt numFmtId="190" formatCode="#,##0.00000"/>
    <numFmt numFmtId="191" formatCode="_(* #,##0.000_);_(* \(#,##0.000\);_(* &quot;-&quot;??_);_(@_)"/>
    <numFmt numFmtId="192" formatCode="#,##0.0000"/>
    <numFmt numFmtId="193" formatCode="#,##0.000000"/>
    <numFmt numFmtId="194" formatCode="_(* #,##0.0_);_(* \(#,##0.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-* #,##0.000_-;\-* #,##0.000_-;_-* &quot;-&quot;??_-;_-@_-"/>
    <numFmt numFmtId="198" formatCode="_-* #,##0.000_-;\-* #,##0.000_-;_-* &quot;-&quot;???_-;_-@_-"/>
    <numFmt numFmtId="199" formatCode="_-* #,##0.0_-;\-* #,##0.0_-;_-* &quot;-&quot;?_-;_-@_-"/>
  </numFmts>
  <fonts count="49">
    <font>
      <sz val="13"/>
      <name val=".VnTime"/>
      <family val="0"/>
    </font>
    <font>
      <sz val="8"/>
      <name val=".VnTime"/>
      <family val="2"/>
    </font>
    <font>
      <b/>
      <sz val="13"/>
      <name val=".VnTime"/>
      <family val="2"/>
    </font>
    <font>
      <u val="single"/>
      <sz val="13"/>
      <color indexed="12"/>
      <name val=".VnTime"/>
      <family val="2"/>
    </font>
    <font>
      <u val="single"/>
      <sz val="13"/>
      <color indexed="36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.VnArial"/>
      <family val="2"/>
    </font>
    <font>
      <b/>
      <sz val="10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color indexed="56"/>
      <name val="VNI-Helve"/>
      <family val="0"/>
    </font>
    <font>
      <b/>
      <sz val="12"/>
      <name val="Times New Roman"/>
      <family val="1"/>
    </font>
    <font>
      <sz val="12"/>
      <name val=".VnTime"/>
      <family val="2"/>
    </font>
    <font>
      <sz val="14"/>
      <name val="Times New Roman"/>
      <family val="1"/>
    </font>
    <font>
      <sz val="13"/>
      <name val="Calibri"/>
      <family val="2"/>
    </font>
    <font>
      <sz val="9.75"/>
      <name val="Times New Roman"/>
      <family val="1"/>
    </font>
    <font>
      <sz val="12"/>
      <name val="Times New Roman"/>
      <family val="1"/>
    </font>
    <font>
      <b/>
      <sz val="12"/>
      <name val=".vntime"/>
      <family val="2"/>
    </font>
    <font>
      <b/>
      <sz val="12"/>
      <name val="Calibri"/>
      <family val="2"/>
    </font>
    <font>
      <sz val="14"/>
      <name val=".VnTime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.75"/>
      <name val=".VnTime"/>
      <family val="1"/>
    </font>
    <font>
      <sz val="13"/>
      <color indexed="8"/>
      <name val=".VnTime"/>
      <family val="2"/>
    </font>
    <font>
      <sz val="13"/>
      <color indexed="9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b/>
      <sz val="13"/>
      <color indexed="63"/>
      <name val=".VnTime"/>
      <family val="2"/>
    </font>
    <font>
      <sz val="13"/>
      <color indexed="62"/>
      <name val=".VnTime"/>
      <family val="2"/>
    </font>
    <font>
      <b/>
      <sz val="13"/>
      <color indexed="9"/>
      <name val=".VnTime"/>
      <family val="2"/>
    </font>
    <font>
      <sz val="13"/>
      <color indexed="52"/>
      <name val=".VnTime"/>
      <family val="2"/>
    </font>
    <font>
      <b/>
      <sz val="18"/>
      <color indexed="56"/>
      <name val="Cambria"/>
      <family val="2"/>
    </font>
    <font>
      <b/>
      <sz val="13"/>
      <color indexed="52"/>
      <name val=".VnTime"/>
      <family val="2"/>
    </font>
    <font>
      <b/>
      <sz val="13"/>
      <color indexed="8"/>
      <name val=".VnTime"/>
      <family val="2"/>
    </font>
    <font>
      <sz val="13"/>
      <color indexed="17"/>
      <name val=".VnTime"/>
      <family val="2"/>
    </font>
    <font>
      <sz val="13"/>
      <color indexed="60"/>
      <name val=".VnTime"/>
      <family val="2"/>
    </font>
    <font>
      <sz val="13"/>
      <color indexed="10"/>
      <name val=".VnTime"/>
      <family val="2"/>
    </font>
    <font>
      <i/>
      <sz val="13"/>
      <color indexed="23"/>
      <name val=".VnTime"/>
      <family val="2"/>
    </font>
    <font>
      <sz val="13"/>
      <color indexed="20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0" borderId="4" applyNumberFormat="0" applyAlignment="0" applyProtection="0"/>
    <xf numFmtId="0" fontId="3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3" fillId="0" borderId="0" applyNumberFormat="0" applyFill="0" applyBorder="0" applyAlignment="0" applyProtection="0"/>
    <xf numFmtId="0" fontId="39" fillId="2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0" fontId="43" fillId="0" borderId="9" applyNumberFormat="0" applyFill="0" applyAlignment="0" applyProtection="0"/>
    <xf numFmtId="0" fontId="44" fillId="4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60">
      <alignment/>
      <protection/>
    </xf>
    <xf numFmtId="178" fontId="9" fillId="0" borderId="11" xfId="43" applyNumberFormat="1" applyFont="1" applyBorder="1" applyAlignment="1">
      <alignment horizontal="center"/>
    </xf>
    <xf numFmtId="178" fontId="10" fillId="0" borderId="11" xfId="43" applyNumberFormat="1" applyFont="1" applyBorder="1" applyAlignment="1">
      <alignment horizontal="center"/>
    </xf>
    <xf numFmtId="49" fontId="10" fillId="0" borderId="11" xfId="43" applyNumberFormat="1" applyFont="1" applyBorder="1" applyAlignment="1">
      <alignment horizontal="center"/>
    </xf>
    <xf numFmtId="0" fontId="10" fillId="0" borderId="11" xfId="60" applyFont="1" applyBorder="1" applyAlignment="1">
      <alignment horizontal="center"/>
      <protection/>
    </xf>
    <xf numFmtId="178" fontId="9" fillId="0" borderId="10" xfId="43" applyNumberFormat="1" applyFont="1" applyBorder="1" applyAlignment="1">
      <alignment horizontal="center"/>
    </xf>
    <xf numFmtId="178" fontId="10" fillId="0" borderId="10" xfId="43" applyNumberFormat="1" applyFont="1" applyBorder="1" applyAlignment="1">
      <alignment horizontal="center"/>
    </xf>
    <xf numFmtId="49" fontId="10" fillId="0" borderId="10" xfId="43" applyNumberFormat="1" applyFont="1" applyBorder="1" applyAlignment="1">
      <alignment horizontal="center"/>
    </xf>
    <xf numFmtId="49" fontId="9" fillId="0" borderId="10" xfId="43" applyNumberFormat="1" applyFont="1" applyBorder="1" applyAlignment="1">
      <alignment horizontal="center"/>
    </xf>
    <xf numFmtId="0" fontId="9" fillId="0" borderId="10" xfId="60" applyFont="1" applyBorder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178" fontId="10" fillId="0" borderId="13" xfId="43" applyNumberFormat="1" applyFont="1" applyBorder="1" applyAlignment="1">
      <alignment horizontal="center"/>
    </xf>
    <xf numFmtId="178" fontId="10" fillId="0" borderId="10" xfId="43" applyNumberFormat="1" applyFont="1" applyBorder="1" applyAlignment="1">
      <alignment/>
    </xf>
    <xf numFmtId="0" fontId="9" fillId="0" borderId="14" xfId="60" applyFont="1" applyBorder="1" applyAlignment="1">
      <alignment horizontal="center"/>
      <protection/>
    </xf>
    <xf numFmtId="178" fontId="10" fillId="0" borderId="13" xfId="43" applyNumberFormat="1" applyFont="1" applyBorder="1" applyAlignment="1">
      <alignment/>
    </xf>
    <xf numFmtId="0" fontId="9" fillId="0" borderId="15" xfId="60" applyFont="1" applyBorder="1" applyAlignment="1">
      <alignment horizontal="center"/>
      <protection/>
    </xf>
    <xf numFmtId="0" fontId="10" fillId="0" borderId="16" xfId="60" applyFont="1" applyBorder="1">
      <alignment/>
      <protection/>
    </xf>
    <xf numFmtId="178" fontId="11" fillId="0" borderId="16" xfId="43" applyNumberFormat="1" applyFont="1" applyBorder="1" applyAlignment="1">
      <alignment horizontal="center"/>
    </xf>
    <xf numFmtId="0" fontId="10" fillId="0" borderId="0" xfId="60" applyFont="1">
      <alignment/>
      <protection/>
    </xf>
    <xf numFmtId="178" fontId="9" fillId="0" borderId="13" xfId="43" applyNumberFormat="1" applyFont="1" applyBorder="1" applyAlignment="1">
      <alignment horizontal="center"/>
    </xf>
    <xf numFmtId="0" fontId="9" fillId="0" borderId="13" xfId="60" applyFont="1" applyBorder="1" applyAlignment="1">
      <alignment horizontal="center"/>
      <protection/>
    </xf>
    <xf numFmtId="0" fontId="9" fillId="0" borderId="17" xfId="60" applyFont="1" applyBorder="1" applyAlignment="1">
      <alignment horizontal="center"/>
      <protection/>
    </xf>
    <xf numFmtId="0" fontId="9" fillId="0" borderId="18" xfId="60" applyFont="1" applyBorder="1">
      <alignment/>
      <protection/>
    </xf>
    <xf numFmtId="178" fontId="12" fillId="0" borderId="0" xfId="43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60" applyFont="1">
      <alignment/>
      <protection/>
    </xf>
    <xf numFmtId="0" fontId="13" fillId="0" borderId="0" xfId="60" applyFont="1">
      <alignment/>
      <protection/>
    </xf>
    <xf numFmtId="178" fontId="14" fillId="0" borderId="0" xfId="43" applyNumberFormat="1" applyFont="1" applyAlignment="1">
      <alignment horizontal="right"/>
    </xf>
    <xf numFmtId="178" fontId="14" fillId="0" borderId="0" xfId="43" applyNumberFormat="1" applyFont="1" applyAlignment="1">
      <alignment horizontal="left"/>
    </xf>
    <xf numFmtId="0" fontId="6" fillId="0" borderId="0" xfId="0" applyFont="1" applyAlignment="1">
      <alignment/>
    </xf>
    <xf numFmtId="0" fontId="9" fillId="0" borderId="19" xfId="60" applyFont="1" applyBorder="1" applyAlignment="1">
      <alignment horizontal="center" vertical="center" wrapText="1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0" fillId="0" borderId="0" xfId="60" applyFont="1" applyBorder="1">
      <alignment/>
      <protection/>
    </xf>
    <xf numFmtId="178" fontId="11" fillId="0" borderId="0" xfId="43" applyNumberFormat="1" applyFont="1" applyBorder="1" applyAlignment="1">
      <alignment horizontal="center"/>
    </xf>
    <xf numFmtId="0" fontId="9" fillId="0" borderId="17" xfId="60" applyFont="1" applyBorder="1">
      <alignment/>
      <protection/>
    </xf>
    <xf numFmtId="178" fontId="10" fillId="0" borderId="17" xfId="43" applyNumberFormat="1" applyFont="1" applyBorder="1" applyAlignment="1">
      <alignment/>
    </xf>
    <xf numFmtId="178" fontId="10" fillId="0" borderId="17" xfId="43" applyNumberFormat="1" applyFont="1" applyBorder="1" applyAlignment="1">
      <alignment horizontal="center"/>
    </xf>
    <xf numFmtId="0" fontId="16" fillId="0" borderId="0" xfId="60" applyFont="1">
      <alignment/>
      <protection/>
    </xf>
    <xf numFmtId="0" fontId="8" fillId="0" borderId="21" xfId="60" applyFont="1" applyBorder="1" applyAlignment="1">
      <alignment horizontal="center" vertical="center"/>
      <protection/>
    </xf>
    <xf numFmtId="0" fontId="17" fillId="0" borderId="0" xfId="60" applyFont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0" fontId="6" fillId="0" borderId="0" xfId="0" applyFont="1" applyAlignment="1">
      <alignment horizontal="center"/>
    </xf>
    <xf numFmtId="0" fontId="16" fillId="0" borderId="0" xfId="40" applyFont="1">
      <alignment/>
      <protection/>
    </xf>
    <xf numFmtId="0" fontId="8" fillId="0" borderId="0" xfId="40" applyFont="1">
      <alignment/>
      <protection/>
    </xf>
    <xf numFmtId="0" fontId="17" fillId="0" borderId="0" xfId="40" applyFont="1">
      <alignment/>
      <protection/>
    </xf>
    <xf numFmtId="0" fontId="16" fillId="0" borderId="0" xfId="40" applyFont="1" applyAlignment="1">
      <alignment horizontal="center"/>
      <protection/>
    </xf>
    <xf numFmtId="179" fontId="14" fillId="0" borderId="0" xfId="43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8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right" vertical="center" wrapText="1"/>
    </xf>
    <xf numFmtId="197" fontId="6" fillId="0" borderId="10" xfId="53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horizontal="right" vertical="center" wrapText="1"/>
    </xf>
    <xf numFmtId="185" fontId="6" fillId="0" borderId="2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185" fontId="6" fillId="0" borderId="21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/>
    </xf>
    <xf numFmtId="197" fontId="6" fillId="0" borderId="22" xfId="53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85" fontId="5" fillId="0" borderId="17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6" fillId="0" borderId="10" xfId="0" applyNumberFormat="1" applyFont="1" applyBorder="1" applyAlignment="1">
      <alignment horizontal="right" vertical="center" wrapText="1"/>
    </xf>
    <xf numFmtId="3" fontId="24" fillId="0" borderId="17" xfId="61" applyNumberFormat="1" applyFont="1" applyFill="1" applyBorder="1">
      <alignment/>
      <protection/>
    </xf>
    <xf numFmtId="3" fontId="24" fillId="0" borderId="10" xfId="61" applyNumberFormat="1" applyFont="1" applyFill="1" applyBorder="1">
      <alignment/>
      <protection/>
    </xf>
    <xf numFmtId="3" fontId="24" fillId="0" borderId="11" xfId="61" applyNumberFormat="1" applyFont="1" applyFill="1" applyBorder="1">
      <alignment/>
      <protection/>
    </xf>
    <xf numFmtId="0" fontId="6" fillId="24" borderId="10" xfId="0" applyFont="1" applyFill="1" applyBorder="1" applyAlignment="1">
      <alignment vertical="center" wrapText="1"/>
    </xf>
    <xf numFmtId="0" fontId="0" fillId="0" borderId="0" xfId="60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19" fillId="0" borderId="23" xfId="60" applyFont="1" applyBorder="1" applyAlignment="1">
      <alignment horizontal="center" vertical="center" wrapText="1"/>
      <protection/>
    </xf>
    <xf numFmtId="0" fontId="0" fillId="0" borderId="13" xfId="60" applyBorder="1" applyAlignment="1">
      <alignment horizontal="center"/>
      <protection/>
    </xf>
    <xf numFmtId="0" fontId="6" fillId="0" borderId="13" xfId="60" applyNumberFormat="1" applyFont="1" applyBorder="1" applyAlignment="1">
      <alignment vertical="center"/>
      <protection/>
    </xf>
    <xf numFmtId="0" fontId="24" fillId="0" borderId="13" xfId="60" applyFont="1" applyBorder="1" applyAlignment="1">
      <alignment horizontal="center" vertical="center"/>
      <protection/>
    </xf>
    <xf numFmtId="0" fontId="0" fillId="0" borderId="13" xfId="60" applyBorder="1">
      <alignment/>
      <protection/>
    </xf>
    <xf numFmtId="2" fontId="0" fillId="0" borderId="13" xfId="60" applyNumberFormat="1" applyBorder="1">
      <alignment/>
      <protection/>
    </xf>
    <xf numFmtId="3" fontId="0" fillId="0" borderId="17" xfId="60" applyNumberFormat="1" applyBorder="1">
      <alignment/>
      <protection/>
    </xf>
    <xf numFmtId="0" fontId="0" fillId="0" borderId="22" xfId="60" applyBorder="1" applyAlignment="1">
      <alignment horizontal="center" vertical="center"/>
      <protection/>
    </xf>
    <xf numFmtId="0" fontId="6" fillId="0" borderId="22" xfId="60" applyNumberFormat="1" applyFont="1" applyBorder="1" applyAlignment="1">
      <alignment vertical="center" wrapText="1"/>
      <protection/>
    </xf>
    <xf numFmtId="0" fontId="24" fillId="0" borderId="22" xfId="60" applyFont="1" applyBorder="1" applyAlignment="1">
      <alignment horizontal="center"/>
      <protection/>
    </xf>
    <xf numFmtId="0" fontId="0" fillId="0" borderId="22" xfId="60" applyBorder="1">
      <alignment/>
      <protection/>
    </xf>
    <xf numFmtId="3" fontId="0" fillId="0" borderId="22" xfId="60" applyNumberFormat="1" applyBorder="1">
      <alignment/>
      <protection/>
    </xf>
    <xf numFmtId="0" fontId="6" fillId="0" borderId="21" xfId="60" applyFont="1" applyBorder="1" applyAlignment="1">
      <alignment horizontal="center"/>
      <protection/>
    </xf>
    <xf numFmtId="0" fontId="5" fillId="0" borderId="21" xfId="60" applyFont="1" applyBorder="1" applyAlignment="1">
      <alignment horizontal="center" vertical="center"/>
      <protection/>
    </xf>
    <xf numFmtId="0" fontId="6" fillId="0" borderId="21" xfId="60" applyFont="1" applyBorder="1">
      <alignment/>
      <protection/>
    </xf>
    <xf numFmtId="3" fontId="5" fillId="0" borderId="21" xfId="60" applyNumberFormat="1" applyFont="1" applyBorder="1">
      <alignment/>
      <protection/>
    </xf>
    <xf numFmtId="0" fontId="5" fillId="0" borderId="0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 wrapText="1"/>
      <protection/>
    </xf>
    <xf numFmtId="0" fontId="5" fillId="0" borderId="21" xfId="60" applyFont="1" applyBorder="1" applyAlignment="1">
      <alignment horizontal="center" vertical="center" wrapText="1"/>
      <protection/>
    </xf>
    <xf numFmtId="0" fontId="6" fillId="0" borderId="10" xfId="60" applyNumberFormat="1" applyFont="1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6" fillId="0" borderId="10" xfId="60" applyNumberFormat="1" applyFont="1" applyBorder="1" applyAlignment="1">
      <alignment vertical="center" wrapText="1"/>
      <protection/>
    </xf>
    <xf numFmtId="0" fontId="24" fillId="0" borderId="10" xfId="60" applyFont="1" applyBorder="1" applyAlignment="1">
      <alignment horizontal="center"/>
      <protection/>
    </xf>
    <xf numFmtId="0" fontId="0" fillId="0" borderId="10" xfId="60" applyBorder="1">
      <alignment/>
      <protection/>
    </xf>
    <xf numFmtId="0" fontId="6" fillId="0" borderId="10" xfId="60" applyFont="1" applyBorder="1" applyAlignment="1">
      <alignment vertic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10" xfId="60" applyFont="1" applyBorder="1">
      <alignment/>
      <protection/>
    </xf>
    <xf numFmtId="0" fontId="6" fillId="0" borderId="22" xfId="60" applyFont="1" applyBorder="1" applyAlignment="1">
      <alignment vertical="center"/>
      <protection/>
    </xf>
    <xf numFmtId="0" fontId="6" fillId="0" borderId="22" xfId="60" applyFont="1" applyBorder="1" applyAlignment="1">
      <alignment horizontal="center"/>
      <protection/>
    </xf>
    <xf numFmtId="0" fontId="6" fillId="0" borderId="22" xfId="60" applyFont="1" applyBorder="1">
      <alignment/>
      <protection/>
    </xf>
    <xf numFmtId="0" fontId="5" fillId="0" borderId="21" xfId="60" applyFont="1" applyBorder="1" applyAlignment="1">
      <alignment horizontal="center"/>
      <protection/>
    </xf>
    <xf numFmtId="0" fontId="5" fillId="0" borderId="21" xfId="60" applyFont="1" applyBorder="1">
      <alignment/>
      <protection/>
    </xf>
    <xf numFmtId="0" fontId="19" fillId="0" borderId="21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/>
      <protection/>
    </xf>
    <xf numFmtId="0" fontId="6" fillId="0" borderId="10" xfId="60" applyNumberFormat="1" applyFont="1" applyBorder="1">
      <alignment/>
      <protection/>
    </xf>
    <xf numFmtId="0" fontId="24" fillId="0" borderId="10" xfId="60" applyFont="1" applyBorder="1" applyAlignment="1">
      <alignment horizontal="right"/>
      <protection/>
    </xf>
    <xf numFmtId="1" fontId="0" fillId="0" borderId="13" xfId="60" applyNumberFormat="1" applyBorder="1">
      <alignment/>
      <protection/>
    </xf>
    <xf numFmtId="0" fontId="6" fillId="0" borderId="22" xfId="60" applyFont="1" applyBorder="1" applyAlignment="1">
      <alignment horizontal="right"/>
      <protection/>
    </xf>
    <xf numFmtId="1" fontId="6" fillId="0" borderId="22" xfId="60" applyNumberFormat="1" applyFont="1" applyBorder="1">
      <alignment/>
      <protection/>
    </xf>
    <xf numFmtId="0" fontId="6" fillId="0" borderId="21" xfId="60" applyFont="1" applyBorder="1" applyAlignment="1">
      <alignment horizontal="right"/>
      <protection/>
    </xf>
    <xf numFmtId="1" fontId="2" fillId="0" borderId="21" xfId="60" applyNumberFormat="1" applyFont="1" applyBorder="1">
      <alignment/>
      <protection/>
    </xf>
    <xf numFmtId="2" fontId="2" fillId="0" borderId="21" xfId="60" applyNumberFormat="1" applyFont="1" applyBorder="1">
      <alignment/>
      <protection/>
    </xf>
    <xf numFmtId="2" fontId="0" fillId="0" borderId="10" xfId="60" applyNumberFormat="1" applyBorder="1">
      <alignment/>
      <protection/>
    </xf>
    <xf numFmtId="0" fontId="0" fillId="0" borderId="22" xfId="60" applyBorder="1" applyAlignment="1">
      <alignment horizontal="center"/>
      <protection/>
    </xf>
    <xf numFmtId="0" fontId="6" fillId="0" borderId="10" xfId="60" applyFont="1" applyBorder="1" applyAlignment="1">
      <alignment horizontal="right"/>
      <protection/>
    </xf>
    <xf numFmtId="1" fontId="6" fillId="0" borderId="10" xfId="60" applyNumberFormat="1" applyFont="1" applyBorder="1">
      <alignment/>
      <protection/>
    </xf>
    <xf numFmtId="0" fontId="0" fillId="0" borderId="11" xfId="60" applyBorder="1" applyAlignment="1">
      <alignment horizontal="center" vertical="center"/>
      <protection/>
    </xf>
    <xf numFmtId="0" fontId="6" fillId="0" borderId="11" xfId="60" applyFont="1" applyBorder="1" applyAlignment="1">
      <alignment vertical="center"/>
      <protection/>
    </xf>
    <xf numFmtId="3" fontId="0" fillId="0" borderId="22" xfId="60" applyNumberFormat="1" applyBorder="1" applyAlignment="1">
      <alignment vertical="center"/>
      <protection/>
    </xf>
    <xf numFmtId="0" fontId="0" fillId="0" borderId="22" xfId="60" applyBorder="1" applyAlignment="1">
      <alignment vertical="center"/>
      <protection/>
    </xf>
    <xf numFmtId="3" fontId="0" fillId="0" borderId="13" xfId="60" applyNumberFormat="1" applyBorder="1" applyAlignment="1">
      <alignment vertical="center"/>
      <protection/>
    </xf>
    <xf numFmtId="3" fontId="0" fillId="0" borderId="11" xfId="60" applyNumberFormat="1" applyBorder="1" applyAlignment="1">
      <alignment vertical="center"/>
      <protection/>
    </xf>
    <xf numFmtId="0" fontId="24" fillId="0" borderId="22" xfId="60" applyFont="1" applyBorder="1" applyAlignment="1">
      <alignment horizontal="center" vertical="center"/>
      <protection/>
    </xf>
    <xf numFmtId="0" fontId="6" fillId="0" borderId="22" xfId="60" applyNumberFormat="1" applyFont="1" applyBorder="1" applyAlignment="1">
      <alignment horizontal="center" vertical="center" wrapText="1"/>
      <protection/>
    </xf>
    <xf numFmtId="3" fontId="5" fillId="0" borderId="21" xfId="60" applyNumberFormat="1" applyFont="1" applyBorder="1" applyAlignment="1">
      <alignment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vertical="center"/>
      <protection/>
    </xf>
    <xf numFmtId="2" fontId="0" fillId="0" borderId="22" xfId="60" applyNumberFormat="1" applyBorder="1" applyAlignment="1">
      <alignment vertical="center"/>
      <protection/>
    </xf>
    <xf numFmtId="2" fontId="0" fillId="0" borderId="13" xfId="60" applyNumberFormat="1" applyBorder="1" applyAlignment="1">
      <alignment vertical="center"/>
      <protection/>
    </xf>
    <xf numFmtId="3" fontId="0" fillId="0" borderId="17" xfId="60" applyNumberFormat="1" applyBorder="1" applyAlignment="1">
      <alignment vertical="center"/>
      <protection/>
    </xf>
    <xf numFmtId="0" fontId="6" fillId="0" borderId="22" xfId="60" applyFont="1" applyBorder="1" applyAlignment="1">
      <alignment horizontal="center" vertical="center"/>
      <protection/>
    </xf>
    <xf numFmtId="4" fontId="24" fillId="0" borderId="10" xfId="60" applyNumberFormat="1" applyFont="1" applyBorder="1" applyAlignment="1">
      <alignment horizontal="right" vertical="center"/>
      <protection/>
    </xf>
    <xf numFmtId="3" fontId="24" fillId="0" borderId="10" xfId="60" applyNumberFormat="1" applyFont="1" applyBorder="1" applyAlignment="1">
      <alignment horizontal="right" vertical="center"/>
      <protection/>
    </xf>
    <xf numFmtId="2" fontId="0" fillId="0" borderId="10" xfId="60" applyNumberFormat="1" applyBorder="1" applyAlignment="1">
      <alignment vertical="center"/>
      <protection/>
    </xf>
    <xf numFmtId="3" fontId="0" fillId="0" borderId="10" xfId="60" applyNumberFormat="1" applyBorder="1" applyAlignment="1">
      <alignment vertical="center"/>
      <protection/>
    </xf>
    <xf numFmtId="3" fontId="6" fillId="0" borderId="10" xfId="60" applyNumberFormat="1" applyFont="1" applyBorder="1" applyAlignment="1">
      <alignment horizontal="right" vertical="center"/>
      <protection/>
    </xf>
    <xf numFmtId="0" fontId="0" fillId="0" borderId="10" xfId="60" applyBorder="1" applyAlignment="1">
      <alignment vertical="center"/>
      <protection/>
    </xf>
    <xf numFmtId="3" fontId="6" fillId="0" borderId="22" xfId="60" applyNumberFormat="1" applyFont="1" applyBorder="1" applyAlignment="1">
      <alignment horizontal="right" vertical="center"/>
      <protection/>
    </xf>
    <xf numFmtId="176" fontId="6" fillId="0" borderId="10" xfId="60" applyNumberFormat="1" applyFont="1" applyBorder="1" applyAlignment="1">
      <alignment horizontal="right" vertical="center"/>
      <protection/>
    </xf>
    <xf numFmtId="2" fontId="6" fillId="0" borderId="22" xfId="60" applyNumberFormat="1" applyFont="1" applyBorder="1" applyAlignment="1">
      <alignment vertical="center"/>
      <protection/>
    </xf>
    <xf numFmtId="1" fontId="6" fillId="0" borderId="22" xfId="60" applyNumberFormat="1" applyFont="1" applyBorder="1" applyAlignment="1">
      <alignment vertical="center"/>
      <protection/>
    </xf>
    <xf numFmtId="0" fontId="24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2" fontId="6" fillId="0" borderId="10" xfId="60" applyNumberFormat="1" applyFont="1" applyBorder="1">
      <alignment/>
      <protection/>
    </xf>
    <xf numFmtId="2" fontId="6" fillId="0" borderId="22" xfId="60" applyNumberFormat="1" applyFont="1" applyBorder="1">
      <alignment/>
      <protection/>
    </xf>
    <xf numFmtId="2" fontId="0" fillId="0" borderId="0" xfId="60" applyNumberFormat="1">
      <alignment/>
      <protection/>
    </xf>
    <xf numFmtId="0" fontId="6" fillId="0" borderId="11" xfId="60" applyFont="1" applyBorder="1" applyAlignment="1">
      <alignment horizontal="center" vertical="center"/>
      <protection/>
    </xf>
    <xf numFmtId="2" fontId="6" fillId="0" borderId="11" xfId="60" applyNumberFormat="1" applyFont="1" applyBorder="1" applyAlignment="1">
      <alignment vertical="center"/>
      <protection/>
    </xf>
    <xf numFmtId="1" fontId="6" fillId="0" borderId="11" xfId="60" applyNumberFormat="1" applyFont="1" applyBorder="1" applyAlignment="1">
      <alignment vertical="center"/>
      <protection/>
    </xf>
    <xf numFmtId="0" fontId="16" fillId="0" borderId="21" xfId="40" applyFont="1" applyBorder="1" applyAlignment="1">
      <alignment horizontal="center"/>
      <protection/>
    </xf>
    <xf numFmtId="0" fontId="16" fillId="0" borderId="21" xfId="40" applyFont="1" applyBorder="1">
      <alignment/>
      <protection/>
    </xf>
    <xf numFmtId="0" fontId="17" fillId="0" borderId="21" xfId="40" applyFont="1" applyBorder="1" applyAlignment="1">
      <alignment horizontal="center" vertical="center"/>
      <protection/>
    </xf>
    <xf numFmtId="0" fontId="17" fillId="0" borderId="21" xfId="40" applyFont="1" applyBorder="1" applyAlignment="1">
      <alignment vertical="center"/>
      <protection/>
    </xf>
    <xf numFmtId="4" fontId="17" fillId="0" borderId="21" xfId="40" applyNumberFormat="1" applyFont="1" applyBorder="1" applyAlignment="1">
      <alignment horizontal="center" vertical="center"/>
      <protection/>
    </xf>
    <xf numFmtId="0" fontId="17" fillId="0" borderId="21" xfId="60" applyFont="1" applyBorder="1" applyAlignment="1">
      <alignment vertical="center"/>
      <protection/>
    </xf>
    <xf numFmtId="0" fontId="17" fillId="0" borderId="21" xfId="60" applyFont="1" applyBorder="1" applyAlignment="1">
      <alignment horizontal="center" vertical="center"/>
      <protection/>
    </xf>
    <xf numFmtId="4" fontId="17" fillId="0" borderId="21" xfId="60" applyNumberFormat="1" applyFont="1" applyBorder="1" applyAlignment="1">
      <alignment horizontal="center" vertical="center"/>
      <protection/>
    </xf>
    <xf numFmtId="0" fontId="17" fillId="0" borderId="21" xfId="60" applyFont="1" applyBorder="1" applyAlignment="1">
      <alignment horizontal="left" vertical="center"/>
      <protection/>
    </xf>
    <xf numFmtId="2" fontId="17" fillId="0" borderId="21" xfId="60" applyNumberFormat="1" applyFont="1" applyBorder="1" applyAlignment="1">
      <alignment horizontal="center" vertical="center"/>
      <protection/>
    </xf>
    <xf numFmtId="0" fontId="16" fillId="0" borderId="25" xfId="40" applyFont="1" applyBorder="1">
      <alignment/>
      <protection/>
    </xf>
    <xf numFmtId="0" fontId="16" fillId="0" borderId="25" xfId="40" applyFont="1" applyBorder="1" applyAlignment="1">
      <alignment horizontal="center"/>
      <protection/>
    </xf>
    <xf numFmtId="0" fontId="16" fillId="0" borderId="16" xfId="60" applyFont="1" applyBorder="1" applyAlignment="1">
      <alignment horizontal="center"/>
      <protection/>
    </xf>
    <xf numFmtId="0" fontId="16" fillId="0" borderId="16" xfId="60" applyFont="1" applyBorder="1">
      <alignment/>
      <protection/>
    </xf>
    <xf numFmtId="0" fontId="21" fillId="0" borderId="0" xfId="40" applyFont="1" applyAlignment="1">
      <alignment horizont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0" xfId="60" applyFont="1" applyAlignment="1">
      <alignment horizontal="center"/>
      <protection/>
    </xf>
    <xf numFmtId="0" fontId="25" fillId="0" borderId="21" xfId="60" applyFont="1" applyBorder="1" applyAlignment="1">
      <alignment horizontal="center" vertical="center" wrapText="1"/>
      <protection/>
    </xf>
    <xf numFmtId="0" fontId="19" fillId="0" borderId="21" xfId="60" applyNumberFormat="1" applyFont="1" applyBorder="1" applyAlignment="1">
      <alignment horizontal="center" vertical="center" wrapText="1"/>
      <protection/>
    </xf>
    <xf numFmtId="0" fontId="19" fillId="0" borderId="26" xfId="60" applyFont="1" applyBorder="1" applyAlignment="1">
      <alignment horizontal="center" vertical="center" wrapText="1"/>
      <protection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6" fillId="24" borderId="13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185" fontId="6" fillId="24" borderId="1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185" fontId="0" fillId="24" borderId="0" xfId="0" applyNumberFormat="1" applyFill="1" applyAlignment="1">
      <alignment vertical="center"/>
    </xf>
    <xf numFmtId="2" fontId="0" fillId="24" borderId="0" xfId="0" applyNumberFormat="1" applyFill="1" applyAlignment="1">
      <alignment/>
    </xf>
    <xf numFmtId="49" fontId="6" fillId="24" borderId="13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89" fontId="6" fillId="24" borderId="10" xfId="0" applyNumberFormat="1" applyFont="1" applyFill="1" applyBorder="1" applyAlignment="1">
      <alignment horizontal="right" vertical="center" wrapText="1"/>
    </xf>
    <xf numFmtId="189" fontId="6" fillId="0" borderId="11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 vertical="center"/>
    </xf>
    <xf numFmtId="185" fontId="5" fillId="0" borderId="17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/>
    </xf>
    <xf numFmtId="185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/>
    </xf>
    <xf numFmtId="185" fontId="0" fillId="0" borderId="27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0" borderId="28" xfId="0" applyBorder="1" applyAlignment="1">
      <alignment/>
    </xf>
    <xf numFmtId="185" fontId="0" fillId="0" borderId="28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0" fillId="0" borderId="29" xfId="0" applyBorder="1" applyAlignment="1">
      <alignment/>
    </xf>
    <xf numFmtId="185" fontId="0" fillId="0" borderId="29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3" fontId="6" fillId="0" borderId="24" xfId="0" applyNumberFormat="1" applyFont="1" applyBorder="1" applyAlignment="1">
      <alignment horizontal="right" vertical="center" wrapText="1"/>
    </xf>
    <xf numFmtId="185" fontId="5" fillId="0" borderId="11" xfId="0" applyNumberFormat="1" applyFont="1" applyBorder="1" applyAlignment="1">
      <alignment vertical="center"/>
    </xf>
    <xf numFmtId="3" fontId="6" fillId="0" borderId="10" xfId="60" applyNumberFormat="1" applyFont="1" applyBorder="1">
      <alignment/>
      <protection/>
    </xf>
    <xf numFmtId="1" fontId="6" fillId="0" borderId="13" xfId="60" applyNumberFormat="1" applyFont="1" applyBorder="1">
      <alignment/>
      <protection/>
    </xf>
    <xf numFmtId="0" fontId="6" fillId="0" borderId="13" xfId="60" applyFont="1" applyBorder="1">
      <alignment/>
      <protection/>
    </xf>
    <xf numFmtId="3" fontId="6" fillId="0" borderId="22" xfId="60" applyNumberFormat="1" applyFont="1" applyBorder="1">
      <alignment/>
      <protection/>
    </xf>
    <xf numFmtId="3" fontId="6" fillId="0" borderId="22" xfId="60" applyNumberFormat="1" applyFont="1" applyBorder="1" applyAlignment="1">
      <alignment vertical="center"/>
      <protection/>
    </xf>
    <xf numFmtId="1" fontId="5" fillId="0" borderId="21" xfId="60" applyNumberFormat="1" applyFont="1" applyBorder="1">
      <alignment/>
      <protection/>
    </xf>
    <xf numFmtId="2" fontId="5" fillId="0" borderId="21" xfId="60" applyNumberFormat="1" applyFont="1" applyBorder="1">
      <alignment/>
      <protection/>
    </xf>
    <xf numFmtId="0" fontId="6" fillId="0" borderId="0" xfId="60" applyFont="1">
      <alignment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>
      <alignment/>
      <protection/>
    </xf>
    <xf numFmtId="2" fontId="21" fillId="0" borderId="0" xfId="60" applyNumberFormat="1" applyFont="1">
      <alignment/>
      <protection/>
    </xf>
    <xf numFmtId="0" fontId="27" fillId="0" borderId="0" xfId="60" applyFont="1">
      <alignment/>
      <protection/>
    </xf>
    <xf numFmtId="0" fontId="0" fillId="0" borderId="0" xfId="60" applyAlignment="1">
      <alignment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28" fillId="0" borderId="0" xfId="0" applyFont="1" applyAlignment="1">
      <alignment horizontal="right" vertical="center"/>
    </xf>
    <xf numFmtId="177" fontId="28" fillId="0" borderId="0" xfId="0" applyNumberFormat="1" applyFont="1" applyAlignment="1">
      <alignment horizontal="center" vertical="center"/>
    </xf>
    <xf numFmtId="18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5" fillId="0" borderId="2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1" fontId="5" fillId="0" borderId="10" xfId="0" applyNumberFormat="1" applyFont="1" applyBorder="1" applyAlignment="1">
      <alignment vertical="center"/>
    </xf>
    <xf numFmtId="1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8" fontId="5" fillId="0" borderId="10" xfId="52" applyNumberFormat="1" applyFont="1" applyBorder="1" applyAlignment="1">
      <alignment/>
    </xf>
    <xf numFmtId="191" fontId="5" fillId="0" borderId="10" xfId="52" applyNumberFormat="1" applyFont="1" applyBorder="1" applyAlignment="1">
      <alignment/>
    </xf>
    <xf numFmtId="0" fontId="9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11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178" fontId="6" fillId="0" borderId="10" xfId="52" applyNumberFormat="1" applyFont="1" applyBorder="1" applyAlignment="1">
      <alignment vertical="center"/>
    </xf>
    <xf numFmtId="178" fontId="6" fillId="0" borderId="10" xfId="52" applyNumberFormat="1" applyFont="1" applyFill="1" applyBorder="1" applyAlignment="1">
      <alignment vertical="center"/>
    </xf>
    <xf numFmtId="191" fontId="6" fillId="0" borderId="10" xfId="52" applyNumberFormat="1" applyFont="1" applyBorder="1" applyAlignment="1">
      <alignment vertical="center"/>
    </xf>
    <xf numFmtId="11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vertical="center"/>
    </xf>
    <xf numFmtId="11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1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11" fontId="6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11" fontId="6" fillId="0" borderId="11" xfId="0" applyNumberFormat="1" applyFont="1" applyBorder="1" applyAlignment="1">
      <alignment vertical="center"/>
    </xf>
    <xf numFmtId="11" fontId="6" fillId="0" borderId="11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178" fontId="6" fillId="0" borderId="11" xfId="52" applyNumberFormat="1" applyFont="1" applyFill="1" applyBorder="1" applyAlignment="1">
      <alignment vertical="center"/>
    </xf>
    <xf numFmtId="178" fontId="6" fillId="0" borderId="11" xfId="52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11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8" fontId="6" fillId="0" borderId="17" xfId="52" applyNumberFormat="1" applyFont="1" applyFill="1" applyBorder="1" applyAlignment="1">
      <alignment vertical="center"/>
    </xf>
    <xf numFmtId="178" fontId="6" fillId="0" borderId="17" xfId="52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189" fontId="6" fillId="0" borderId="17" xfId="0" applyNumberFormat="1" applyFont="1" applyBorder="1" applyAlignment="1">
      <alignment vertical="center"/>
    </xf>
    <xf numFmtId="178" fontId="5" fillId="0" borderId="10" xfId="52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178" fontId="6" fillId="0" borderId="30" xfId="52" applyNumberFormat="1" applyFont="1" applyFill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78" fontId="6" fillId="0" borderId="22" xfId="52" applyNumberFormat="1" applyFont="1" applyFill="1" applyBorder="1" applyAlignment="1">
      <alignment vertical="center"/>
    </xf>
    <xf numFmtId="0" fontId="10" fillId="0" borderId="25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10" fillId="0" borderId="28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1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178" fontId="6" fillId="0" borderId="13" xfId="52" applyNumberFormat="1" applyFont="1" applyFill="1" applyBorder="1" applyAlignment="1">
      <alignment vertical="center"/>
    </xf>
    <xf numFmtId="178" fontId="6" fillId="0" borderId="13" xfId="52" applyNumberFormat="1" applyFont="1" applyBorder="1" applyAlignment="1">
      <alignment vertical="center"/>
    </xf>
    <xf numFmtId="178" fontId="5" fillId="0" borderId="13" xfId="52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78" fontId="6" fillId="0" borderId="10" xfId="52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 wrapText="1"/>
    </xf>
    <xf numFmtId="49" fontId="6" fillId="0" borderId="22" xfId="0" applyNumberFormat="1" applyFont="1" applyBorder="1" applyAlignment="1">
      <alignment horizontal="center"/>
    </xf>
    <xf numFmtId="11" fontId="6" fillId="0" borderId="22" xfId="0" applyNumberFormat="1" applyFont="1" applyBorder="1" applyAlignment="1">
      <alignment vertical="center"/>
    </xf>
    <xf numFmtId="11" fontId="6" fillId="0" borderId="22" xfId="0" applyNumberFormat="1" applyFont="1" applyBorder="1" applyAlignment="1">
      <alignment horizontal="center"/>
    </xf>
    <xf numFmtId="178" fontId="6" fillId="0" borderId="22" xfId="52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189" fontId="6" fillId="0" borderId="22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85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185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185" fontId="6" fillId="0" borderId="13" xfId="0" applyNumberFormat="1" applyFont="1" applyBorder="1" applyAlignment="1">
      <alignment vertical="center"/>
    </xf>
    <xf numFmtId="178" fontId="6" fillId="0" borderId="13" xfId="52" applyNumberFormat="1" applyFont="1" applyBorder="1" applyAlignment="1">
      <alignment/>
    </xf>
    <xf numFmtId="0" fontId="6" fillId="0" borderId="13" xfId="0" applyFont="1" applyBorder="1" applyAlignment="1">
      <alignment/>
    </xf>
    <xf numFmtId="178" fontId="6" fillId="0" borderId="13" xfId="52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8" fontId="6" fillId="0" borderId="10" xfId="0" applyNumberFormat="1" applyFont="1" applyBorder="1" applyAlignment="1">
      <alignment horizontal="right" vertical="center"/>
    </xf>
    <xf numFmtId="178" fontId="6" fillId="0" borderId="10" xfId="52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/>
    </xf>
    <xf numFmtId="185" fontId="6" fillId="0" borderId="10" xfId="0" applyNumberFormat="1" applyFont="1" applyBorder="1" applyAlignment="1">
      <alignment vertical="center"/>
    </xf>
    <xf numFmtId="178" fontId="6" fillId="0" borderId="10" xfId="52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78" fontId="6" fillId="0" borderId="10" xfId="52" applyNumberFormat="1" applyFont="1" applyFill="1" applyBorder="1" applyAlignment="1">
      <alignment/>
    </xf>
    <xf numFmtId="11" fontId="5" fillId="0" borderId="1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/>
    </xf>
    <xf numFmtId="11" fontId="16" fillId="0" borderId="31" xfId="0" applyNumberFormat="1" applyFont="1" applyFill="1" applyBorder="1" applyAlignment="1">
      <alignment/>
    </xf>
    <xf numFmtId="11" fontId="16" fillId="0" borderId="31" xfId="0" applyNumberFormat="1" applyFont="1" applyBorder="1" applyAlignment="1">
      <alignment horizontal="center"/>
    </xf>
    <xf numFmtId="0" fontId="16" fillId="0" borderId="31" xfId="0" applyFont="1" applyBorder="1" applyAlignment="1">
      <alignment/>
    </xf>
    <xf numFmtId="0" fontId="15" fillId="0" borderId="31" xfId="0" applyFont="1" applyBorder="1" applyAlignment="1">
      <alignment/>
    </xf>
    <xf numFmtId="3" fontId="16" fillId="0" borderId="31" xfId="0" applyNumberFormat="1" applyFont="1" applyBorder="1" applyAlignment="1">
      <alignment/>
    </xf>
    <xf numFmtId="189" fontId="16" fillId="0" borderId="31" xfId="0" applyNumberFormat="1" applyFont="1" applyBorder="1" applyAlignment="1">
      <alignment/>
    </xf>
    <xf numFmtId="49" fontId="5" fillId="24" borderId="13" xfId="52" applyNumberFormat="1" applyFont="1" applyFill="1" applyBorder="1" applyAlignment="1">
      <alignment horizontal="center" vertical="center"/>
    </xf>
    <xf numFmtId="178" fontId="5" fillId="24" borderId="17" xfId="52" applyNumberFormat="1" applyFont="1" applyFill="1" applyBorder="1" applyAlignment="1">
      <alignment vertical="center"/>
    </xf>
    <xf numFmtId="178" fontId="5" fillId="24" borderId="17" xfId="52" applyNumberFormat="1" applyFont="1" applyFill="1" applyBorder="1" applyAlignment="1">
      <alignment/>
    </xf>
    <xf numFmtId="178" fontId="5" fillId="24" borderId="13" xfId="52" applyNumberFormat="1" applyFont="1" applyFill="1" applyBorder="1" applyAlignment="1">
      <alignment vertical="center"/>
    </xf>
    <xf numFmtId="178" fontId="5" fillId="24" borderId="13" xfId="52" applyNumberFormat="1" applyFont="1" applyFill="1" applyBorder="1" applyAlignment="1">
      <alignment horizontal="left" vertical="center"/>
    </xf>
    <xf numFmtId="178" fontId="5" fillId="24" borderId="13" xfId="52" applyNumberFormat="1" applyFont="1" applyFill="1" applyBorder="1" applyAlignment="1">
      <alignment/>
    </xf>
    <xf numFmtId="49" fontId="5" fillId="24" borderId="10" xfId="52" applyNumberFormat="1" applyFont="1" applyFill="1" applyBorder="1" applyAlignment="1">
      <alignment horizontal="center" vertical="center"/>
    </xf>
    <xf numFmtId="49" fontId="5" fillId="24" borderId="11" xfId="52" applyNumberFormat="1" applyFont="1" applyFill="1" applyBorder="1" applyAlignment="1">
      <alignment horizontal="center" vertical="center"/>
    </xf>
    <xf numFmtId="178" fontId="5" fillId="24" borderId="24" xfId="52" applyNumberFormat="1" applyFont="1" applyFill="1" applyBorder="1" applyAlignment="1">
      <alignment vertical="center"/>
    </xf>
    <xf numFmtId="178" fontId="5" fillId="24" borderId="24" xfId="52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21" fillId="0" borderId="0" xfId="0" applyFont="1" applyBorder="1" applyAlignment="1">
      <alignment vertical="center"/>
    </xf>
    <xf numFmtId="178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" fillId="0" borderId="0" xfId="0" applyFont="1" applyAlignment="1">
      <alignment/>
    </xf>
    <xf numFmtId="11" fontId="5" fillId="0" borderId="22" xfId="0" applyNumberFormat="1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9" fontId="19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85" fontId="6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97" fontId="6" fillId="0" borderId="10" xfId="53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85" fontId="6" fillId="0" borderId="2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5" fontId="6" fillId="0" borderId="30" xfId="0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3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85" fontId="6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85" fontId="6" fillId="0" borderId="17" xfId="0" applyNumberFormat="1" applyFont="1" applyBorder="1" applyAlignment="1">
      <alignment horizontal="right" vertical="center" wrapText="1"/>
    </xf>
    <xf numFmtId="184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5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85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185" fontId="6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/>
    </xf>
    <xf numFmtId="185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7" fontId="0" fillId="0" borderId="0" xfId="0" applyNumberFormat="1" applyFont="1" applyAlignment="1">
      <alignment/>
    </xf>
    <xf numFmtId="49" fontId="5" fillId="24" borderId="30" xfId="52" applyNumberFormat="1" applyFont="1" applyFill="1" applyBorder="1" applyAlignment="1">
      <alignment horizontal="left" vertical="center" wrapText="1"/>
    </xf>
    <xf numFmtId="49" fontId="5" fillId="24" borderId="24" xfId="52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60" applyFont="1" applyAlignment="1">
      <alignment horizontal="center" vertical="center" wrapText="1"/>
      <protection/>
    </xf>
    <xf numFmtId="0" fontId="6" fillId="0" borderId="0" xfId="60" applyFont="1" applyAlignment="1">
      <alignment horizontal="right" vertical="center"/>
      <protection/>
    </xf>
    <xf numFmtId="0" fontId="15" fillId="0" borderId="32" xfId="40" applyFont="1" applyBorder="1" applyAlignment="1">
      <alignment horizontal="center" vertical="center"/>
      <protection/>
    </xf>
    <xf numFmtId="0" fontId="15" fillId="0" borderId="30" xfId="40" applyFont="1" applyBorder="1" applyAlignment="1">
      <alignment horizontal="center" vertical="center"/>
      <protection/>
    </xf>
    <xf numFmtId="0" fontId="15" fillId="0" borderId="20" xfId="40" applyFont="1" applyBorder="1" applyAlignment="1">
      <alignment horizontal="center" vertical="center"/>
      <protection/>
    </xf>
    <xf numFmtId="0" fontId="17" fillId="0" borderId="21" xfId="60" applyFont="1" applyBorder="1" applyAlignment="1">
      <alignment horizontal="left" vertical="center" wrapText="1"/>
      <protection/>
    </xf>
    <xf numFmtId="3" fontId="5" fillId="0" borderId="21" xfId="0" applyNumberFormat="1" applyFont="1" applyBorder="1" applyAlignment="1">
      <alignment horizontal="center" vertical="center" wrapText="1"/>
    </xf>
    <xf numFmtId="49" fontId="15" fillId="24" borderId="19" xfId="52" applyNumberFormat="1" applyFont="1" applyFill="1" applyBorder="1" applyAlignment="1">
      <alignment horizontal="center"/>
    </xf>
    <xf numFmtId="49" fontId="15" fillId="24" borderId="30" xfId="52" applyNumberFormat="1" applyFont="1" applyFill="1" applyBorder="1" applyAlignment="1">
      <alignment horizontal="center"/>
    </xf>
    <xf numFmtId="49" fontId="15" fillId="24" borderId="24" xfId="52" applyNumberFormat="1" applyFont="1" applyFill="1" applyBorder="1" applyAlignment="1">
      <alignment horizontal="center"/>
    </xf>
    <xf numFmtId="49" fontId="5" fillId="24" borderId="19" xfId="52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vertical="center"/>
    </xf>
    <xf numFmtId="0" fontId="19" fillId="0" borderId="33" xfId="60" applyFont="1" applyBorder="1" applyAlignment="1">
      <alignment horizontal="center" vertical="center" wrapText="1"/>
      <protection/>
    </xf>
    <xf numFmtId="0" fontId="19" fillId="0" borderId="34" xfId="60" applyFont="1" applyBorder="1" applyAlignment="1">
      <alignment horizontal="center" vertical="center" wrapText="1"/>
      <protection/>
    </xf>
    <xf numFmtId="0" fontId="19" fillId="0" borderId="35" xfId="60" applyFont="1" applyBorder="1" applyAlignment="1">
      <alignment horizontal="center" vertical="center" wrapText="1"/>
      <protection/>
    </xf>
    <xf numFmtId="0" fontId="19" fillId="0" borderId="36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/>
      <protection/>
    </xf>
    <xf numFmtId="0" fontId="8" fillId="0" borderId="0" xfId="60" applyFont="1" applyBorder="1" applyAlignment="1">
      <alignment horizontal="center" vertical="center"/>
      <protection/>
    </xf>
    <xf numFmtId="0" fontId="25" fillId="0" borderId="21" xfId="60" applyFont="1" applyBorder="1" applyAlignment="1">
      <alignment horizontal="center" vertical="center" wrapText="1"/>
      <protection/>
    </xf>
    <xf numFmtId="0" fontId="19" fillId="0" borderId="21" xfId="60" applyNumberFormat="1" applyFont="1" applyBorder="1" applyAlignment="1">
      <alignment horizontal="center" vertical="center" wrapText="1"/>
      <protection/>
    </xf>
    <xf numFmtId="0" fontId="19" fillId="0" borderId="19" xfId="60" applyNumberFormat="1" applyFont="1" applyBorder="1" applyAlignment="1">
      <alignment horizontal="center" vertical="center" wrapText="1"/>
      <protection/>
    </xf>
    <xf numFmtId="0" fontId="19" fillId="0" borderId="30" xfId="60" applyNumberFormat="1" applyFont="1" applyBorder="1" applyAlignment="1">
      <alignment horizontal="center" vertical="center" wrapText="1"/>
      <protection/>
    </xf>
    <xf numFmtId="0" fontId="19" fillId="0" borderId="24" xfId="60" applyNumberFormat="1" applyFont="1" applyBorder="1" applyAlignment="1">
      <alignment horizontal="center" vertical="center" wrapText="1"/>
      <protection/>
    </xf>
    <xf numFmtId="0" fontId="19" fillId="0" borderId="19" xfId="60" applyFont="1" applyBorder="1" applyAlignment="1">
      <alignment horizontal="center" vertical="center" wrapText="1"/>
      <protection/>
    </xf>
    <xf numFmtId="0" fontId="19" fillId="0" borderId="30" xfId="60" applyFont="1" applyBorder="1" applyAlignment="1">
      <alignment horizontal="center" vertical="center" wrapText="1"/>
      <protection/>
    </xf>
    <xf numFmtId="0" fontId="19" fillId="0" borderId="24" xfId="60" applyFont="1" applyBorder="1" applyAlignment="1">
      <alignment horizontal="center" vertical="center" wrapText="1"/>
      <protection/>
    </xf>
    <xf numFmtId="0" fontId="19" fillId="0" borderId="32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5" fillId="0" borderId="21" xfId="60" applyNumberFormat="1" applyFont="1" applyBorder="1" applyAlignment="1">
      <alignment horizontal="center" vertical="center" wrapText="1"/>
      <protection/>
    </xf>
    <xf numFmtId="0" fontId="5" fillId="0" borderId="19" xfId="60" applyNumberFormat="1" applyFont="1" applyBorder="1" applyAlignment="1">
      <alignment horizontal="center" vertical="center" wrapText="1"/>
      <protection/>
    </xf>
    <xf numFmtId="0" fontId="5" fillId="0" borderId="30" xfId="60" applyNumberFormat="1" applyFont="1" applyBorder="1" applyAlignment="1">
      <alignment horizontal="center" vertical="center" wrapText="1"/>
      <protection/>
    </xf>
    <xf numFmtId="0" fontId="5" fillId="0" borderId="24" xfId="60" applyNumberFormat="1" applyFont="1" applyBorder="1" applyAlignment="1">
      <alignment horizontal="center" vertical="center" wrapText="1"/>
      <protection/>
    </xf>
    <xf numFmtId="0" fontId="24" fillId="0" borderId="34" xfId="60" applyFont="1" applyBorder="1" applyAlignment="1">
      <alignment horizontal="center" vertical="center" wrapText="1"/>
      <protection/>
    </xf>
    <xf numFmtId="0" fontId="24" fillId="0" borderId="32" xfId="60" applyFont="1" applyBorder="1" applyAlignment="1">
      <alignment horizontal="center" vertical="center" wrapText="1"/>
      <protection/>
    </xf>
    <xf numFmtId="0" fontId="24" fillId="0" borderId="36" xfId="60" applyFont="1" applyBorder="1" applyAlignment="1">
      <alignment horizontal="center" vertical="center" wrapText="1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24" fillId="0" borderId="30" xfId="60" applyFont="1" applyBorder="1" applyAlignment="1">
      <alignment horizontal="center" vertical="center" wrapText="1"/>
      <protection/>
    </xf>
    <xf numFmtId="0" fontId="24" fillId="0" borderId="24" xfId="60" applyFont="1" applyBorder="1" applyAlignment="1">
      <alignment horizontal="center" vertical="center" wrapText="1"/>
      <protection/>
    </xf>
    <xf numFmtId="0" fontId="19" fillId="0" borderId="26" xfId="60" applyFont="1" applyBorder="1" applyAlignment="1">
      <alignment horizontal="center" vertical="center" wrapText="1"/>
      <protection/>
    </xf>
    <xf numFmtId="0" fontId="19" fillId="0" borderId="23" xfId="6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6" xfId="60" applyFont="1" applyBorder="1" applyAlignment="1">
      <alignment horizontal="center" vertical="center"/>
      <protection/>
    </xf>
    <xf numFmtId="0" fontId="25" fillId="0" borderId="19" xfId="60" applyFont="1" applyBorder="1" applyAlignment="1">
      <alignment horizontal="center" vertical="center" wrapText="1"/>
      <protection/>
    </xf>
    <xf numFmtId="0" fontId="25" fillId="0" borderId="30" xfId="60" applyFont="1" applyBorder="1" applyAlignment="1">
      <alignment horizontal="center" vertical="center" wrapText="1"/>
      <protection/>
    </xf>
    <xf numFmtId="0" fontId="25" fillId="0" borderId="24" xfId="60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vertical="center"/>
    </xf>
    <xf numFmtId="0" fontId="5" fillId="0" borderId="0" xfId="60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huẩn 2" xfId="39"/>
    <cellStyle name="Chuẩn 3" xfId="40"/>
    <cellStyle name="Comma" xfId="41"/>
    <cellStyle name="Comma [0]" xfId="42"/>
    <cellStyle name="Comma 2" xfId="43"/>
    <cellStyle name="Currency" xfId="44"/>
    <cellStyle name="Currency [0]" xfId="45"/>
    <cellStyle name="Đầu đề 1" xfId="46"/>
    <cellStyle name="Đầu đề 2" xfId="47"/>
    <cellStyle name="Đầu đề 3" xfId="48"/>
    <cellStyle name="Đầu đề 4" xfId="49"/>
    <cellStyle name="Dấu phảy 2" xfId="50"/>
    <cellStyle name="Dấu phẩy 2" xfId="51"/>
    <cellStyle name="Dấu phảy 2 2" xfId="52"/>
    <cellStyle name="Dấu phẩy 3" xfId="53"/>
    <cellStyle name="Đầu ra" xfId="54"/>
    <cellStyle name="Đầu vào" xfId="55"/>
    <cellStyle name="Followed Hyperlink" xfId="56"/>
    <cellStyle name="Ghi chú" xfId="57"/>
    <cellStyle name="Hyperlink" xfId="58"/>
    <cellStyle name="Kiểm tra Ô" xfId="59"/>
    <cellStyle name="Normal 2" xfId="60"/>
    <cellStyle name="Normal 6" xfId="61"/>
    <cellStyle name="Ô được Nối kết" xfId="62"/>
    <cellStyle name="Percent" xfId="63"/>
    <cellStyle name="Tiêu đề" xfId="64"/>
    <cellStyle name="Tính toán" xfId="65"/>
    <cellStyle name="Tổng" xfId="66"/>
    <cellStyle name="Tốt" xfId="67"/>
    <cellStyle name="Trung lập" xfId="68"/>
    <cellStyle name="Văn bản Cảnh báo" xfId="69"/>
    <cellStyle name="Văn bản Giải thích" xfId="70"/>
    <cellStyle name="Xấu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htru\Don%20gia%20coc%20chia%20lo%20Luong%2018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NGIA2014\DONGIACAMOC_2014\DONGIA\DINHMUCCAMM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lcome\AppData\Local\Temp\Rar$DIa0.542\6-DONGIA%20MOCBETONG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u Vao"/>
      <sheetName val="THDT"/>
      <sheetName val="THKP"/>
      <sheetName val="THKP-1"/>
      <sheetName val="DGTH-1"/>
      <sheetName val="DGCT"/>
      <sheetName val="May"/>
      <sheetName val="VCM"/>
      <sheetName val="TP-CapPhoi"/>
      <sheetName val="LuongKS"/>
      <sheetName val="VatLieu"/>
      <sheetName val="CVC"/>
      <sheetName val="LuongCN"/>
      <sheetName val="Tra cuu 957"/>
      <sheetName val="kl"/>
    </sheetNames>
    <sheetDataSet>
      <sheetData sheetId="5">
        <row r="15">
          <cell r="C15" t="str">
            <v>Mã hiệu
ĐG</v>
          </cell>
          <cell r="D15" t="str">
            <v>Mã Hiệu ĐM</v>
          </cell>
          <cell r="E15" t="str">
            <v>THÀNH PHẦN HAO PHÍ</v>
          </cell>
          <cell r="F15" t="str">
            <v>Ký hiệu</v>
          </cell>
          <cell r="G15" t="str">
            <v>ĐVT</v>
          </cell>
          <cell r="H15" t="str">
            <v>Định Mức
Cách tính</v>
          </cell>
          <cell r="I15" t="str">
            <v>Đơn Giá</v>
          </cell>
          <cell r="J15" t="str">
            <v>THÀNH TIỀN</v>
          </cell>
        </row>
        <row r="16">
          <cell r="J16" t="str">
            <v>VL</v>
          </cell>
          <cell r="K16" t="str">
            <v>NC</v>
          </cell>
          <cell r="L16" t="str">
            <v>M</v>
          </cell>
        </row>
        <row r="17">
          <cell r="C17" t="str">
            <v>Số 1776 /BXD-VP: Định mức dự toán xây dựng công trình - Phần Xây dựng, ngày 16 tháng 08 năm 2007</v>
          </cell>
        </row>
        <row r="18">
          <cell r="C18">
            <v>1</v>
          </cell>
          <cell r="D18" t="str">
            <v>AG.11110</v>
          </cell>
          <cell r="E18" t="str">
            <v>Bê tông cọc M200 đúc sẵn, đá 1x2</v>
          </cell>
          <cell r="F18" t="str">
            <v/>
          </cell>
          <cell r="G18" t="str">
            <v>m3</v>
          </cell>
          <cell r="I18" t="str">
            <v/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/>
          </cell>
          <cell r="E19" t="str">
            <v>DGCT</v>
          </cell>
          <cell r="F19" t="str">
            <v>VL</v>
          </cell>
          <cell r="G19" t="str">
            <v>m3</v>
          </cell>
          <cell r="H19">
            <v>1.015</v>
          </cell>
          <cell r="I19">
            <v>842410.6498204545</v>
          </cell>
          <cell r="J19">
            <v>855046.8095677613</v>
          </cell>
          <cell r="K19" t="str">
            <v/>
          </cell>
          <cell r="L19" t="str">
            <v/>
          </cell>
        </row>
        <row r="20">
          <cell r="C20" t="str">
            <v/>
          </cell>
          <cell r="E20" t="str">
            <v>Vật liệu khác</v>
          </cell>
          <cell r="F20" t="str">
            <v>VL</v>
          </cell>
          <cell r="G20" t="str">
            <v>%</v>
          </cell>
          <cell r="H20">
            <v>0.5</v>
          </cell>
          <cell r="I20">
            <v>0</v>
          </cell>
          <cell r="J20">
            <v>0</v>
          </cell>
          <cell r="K20" t="str">
            <v/>
          </cell>
          <cell r="L20" t="str">
            <v/>
          </cell>
        </row>
        <row r="21">
          <cell r="C21" t="str">
            <v/>
          </cell>
          <cell r="E21" t="str">
            <v>Nhân công bâc: 3/7</v>
          </cell>
          <cell r="F21" t="str">
            <v>NC</v>
          </cell>
          <cell r="G21" t="str">
            <v>Công</v>
          </cell>
          <cell r="H21">
            <v>1.83</v>
          </cell>
          <cell r="I21">
            <v>215349.23076923078</v>
          </cell>
          <cell r="J21" t="str">
            <v/>
          </cell>
          <cell r="K21">
            <v>394089.09230769234</v>
          </cell>
          <cell r="L21" t="str">
            <v/>
          </cell>
        </row>
        <row r="22">
          <cell r="C22" t="str">
            <v/>
          </cell>
          <cell r="E22" t="str">
            <v>Máy trộn bê tông - 250 lít</v>
          </cell>
          <cell r="F22" t="str">
            <v>M</v>
          </cell>
          <cell r="G22" t="str">
            <v>Ca</v>
          </cell>
          <cell r="H22">
            <v>0.095</v>
          </cell>
          <cell r="I22">
            <v>282968.0587692308</v>
          </cell>
          <cell r="J22" t="str">
            <v/>
          </cell>
          <cell r="K22" t="str">
            <v/>
          </cell>
          <cell r="L22">
            <v>26881.965583076926</v>
          </cell>
        </row>
        <row r="23">
          <cell r="C23" t="str">
            <v/>
          </cell>
          <cell r="E23" t="str">
            <v>Máy đầm bê tông, đầm dùi: 0,8 Kw</v>
          </cell>
          <cell r="F23" t="str">
            <v>M</v>
          </cell>
          <cell r="G23" t="str">
            <v>Ca</v>
          </cell>
          <cell r="H23">
            <v>0.18</v>
          </cell>
          <cell r="I23">
            <v>230769.5067692308</v>
          </cell>
          <cell r="J23" t="str">
            <v/>
          </cell>
          <cell r="K23" t="str">
            <v/>
          </cell>
          <cell r="L23">
            <v>41538.51121846154</v>
          </cell>
        </row>
        <row r="24">
          <cell r="C24" t="str">
            <v/>
          </cell>
          <cell r="E24" t="str">
            <v>Máy khác</v>
          </cell>
          <cell r="F24" t="str">
            <v>M</v>
          </cell>
          <cell r="G24" t="str">
            <v>%</v>
          </cell>
          <cell r="H24">
            <v>10</v>
          </cell>
          <cell r="I24">
            <v>0</v>
          </cell>
          <cell r="J24" t="str">
            <v/>
          </cell>
          <cell r="K24" t="str">
            <v/>
          </cell>
          <cell r="L24">
            <v>0</v>
          </cell>
        </row>
        <row r="25">
          <cell r="C25" t="str">
            <v/>
          </cell>
          <cell r="E25" t="str">
            <v>Chi phí trực tiếp khác</v>
          </cell>
          <cell r="F25" t="str">
            <v>TT</v>
          </cell>
          <cell r="G25" t="str">
            <v>VNĐ</v>
          </cell>
          <cell r="H25">
            <v>0.02</v>
          </cell>
          <cell r="I25">
            <v>0</v>
          </cell>
        </row>
        <row r="26">
          <cell r="C26" t="str">
            <v/>
          </cell>
          <cell r="E26" t="str">
            <v>Chi phí trực tiếp</v>
          </cell>
          <cell r="F26" t="str">
            <v>T</v>
          </cell>
          <cell r="G26" t="str">
            <v>VNĐ</v>
          </cell>
          <cell r="H26">
            <v>1</v>
          </cell>
          <cell r="I26">
            <v>0</v>
          </cell>
        </row>
        <row r="27">
          <cell r="C27" t="str">
            <v/>
          </cell>
          <cell r="E27" t="str">
            <v>Chi phí chung</v>
          </cell>
          <cell r="F27" t="str">
            <v>C</v>
          </cell>
          <cell r="G27" t="str">
            <v>VNĐ</v>
          </cell>
          <cell r="H27">
            <v>0.05</v>
          </cell>
          <cell r="I27">
            <v>0</v>
          </cell>
        </row>
        <row r="28">
          <cell r="C28" t="str">
            <v/>
          </cell>
          <cell r="E28" t="str">
            <v>Thu nhập chịu thuế tính trước</v>
          </cell>
          <cell r="F28" t="str">
            <v>TL</v>
          </cell>
          <cell r="G28" t="str">
            <v>VNĐ</v>
          </cell>
          <cell r="H28">
            <v>0.055</v>
          </cell>
          <cell r="I28">
            <v>0</v>
          </cell>
        </row>
        <row r="29">
          <cell r="C29" t="str">
            <v/>
          </cell>
          <cell r="E29" t="str">
            <v>Chi phí xây dựng trước thuế</v>
          </cell>
          <cell r="F29" t="str">
            <v>G</v>
          </cell>
          <cell r="G29" t="str">
            <v>VNĐ</v>
          </cell>
          <cell r="H29">
            <v>1</v>
          </cell>
          <cell r="I29">
            <v>0</v>
          </cell>
        </row>
        <row r="30">
          <cell r="C30" t="str">
            <v/>
          </cell>
          <cell r="E30" t="str">
            <v>Thuế giá trị gia tăng </v>
          </cell>
          <cell r="F30" t="str">
            <v>VAT</v>
          </cell>
          <cell r="G30" t="str">
            <v>VNĐ</v>
          </cell>
          <cell r="H30">
            <v>0.1</v>
          </cell>
          <cell r="I30">
            <v>0</v>
          </cell>
        </row>
        <row r="31">
          <cell r="C31" t="str">
            <v/>
          </cell>
          <cell r="E31" t="str">
            <v>Chi phí xây dựng sau thuế</v>
          </cell>
          <cell r="F31" t="str">
            <v>GST</v>
          </cell>
          <cell r="G31" t="str">
            <v>VNĐ</v>
          </cell>
          <cell r="H31">
            <v>1</v>
          </cell>
          <cell r="I31">
            <v>0</v>
          </cell>
        </row>
        <row r="32">
          <cell r="C32" t="str">
            <v/>
          </cell>
          <cell r="E32" t="str">
            <v>Chi phí lán trại tại hiện trường</v>
          </cell>
          <cell r="F32" t="str">
            <v>GXDNT</v>
          </cell>
          <cell r="G32" t="str">
            <v>VNĐ</v>
          </cell>
          <cell r="H32">
            <v>0.01</v>
          </cell>
          <cell r="I32">
            <v>0</v>
          </cell>
        </row>
        <row r="33">
          <cell r="C33" t="str">
            <v/>
          </cell>
          <cell r="E33" t="str">
            <v>Chi phí xây dựng tổng cộng</v>
          </cell>
          <cell r="F33" t="str">
            <v>GXD</v>
          </cell>
          <cell r="G33" t="str">
            <v>VNĐ</v>
          </cell>
          <cell r="H33" t="str">
            <v>GST + GXDNT</v>
          </cell>
        </row>
        <row r="34">
          <cell r="C34">
            <v>2</v>
          </cell>
          <cell r="D34" t="str">
            <v>AG.11110</v>
          </cell>
          <cell r="E34" t="str">
            <v>Bê tông cọc M150 đúc sẵn, đá 1x2</v>
          </cell>
          <cell r="F34" t="str">
            <v/>
          </cell>
          <cell r="G34" t="str">
            <v>m3</v>
          </cell>
          <cell r="I34" t="str">
            <v/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/>
          </cell>
          <cell r="E35" t="str">
            <v>Vữa BT M150 đá 1x2</v>
          </cell>
          <cell r="F35" t="str">
            <v>VL</v>
          </cell>
          <cell r="G35" t="str">
            <v>m3</v>
          </cell>
          <cell r="H35">
            <v>1.015</v>
          </cell>
          <cell r="I35">
            <v>755507.4352329546</v>
          </cell>
          <cell r="J35">
            <v>766840.0467614488</v>
          </cell>
          <cell r="K35" t="str">
            <v/>
          </cell>
          <cell r="L35" t="str">
            <v/>
          </cell>
        </row>
        <row r="36">
          <cell r="C36" t="str">
            <v/>
          </cell>
          <cell r="E36" t="str">
            <v>Vật liệu khác</v>
          </cell>
          <cell r="F36" t="str">
            <v>VL</v>
          </cell>
          <cell r="G36" t="str">
            <v>%</v>
          </cell>
          <cell r="H36">
            <v>0.5</v>
          </cell>
          <cell r="I36">
            <v>0</v>
          </cell>
          <cell r="J36">
            <v>0</v>
          </cell>
          <cell r="K36" t="str">
            <v/>
          </cell>
          <cell r="L36" t="str">
            <v/>
          </cell>
        </row>
        <row r="37">
          <cell r="C37" t="str">
            <v/>
          </cell>
          <cell r="E37" t="str">
            <v>Nhân công bậc: 3/7</v>
          </cell>
          <cell r="F37" t="str">
            <v>NC</v>
          </cell>
          <cell r="G37" t="str">
            <v>Công</v>
          </cell>
          <cell r="H37">
            <v>1.83</v>
          </cell>
          <cell r="I37">
            <v>215349.23076923078</v>
          </cell>
          <cell r="J37" t="str">
            <v/>
          </cell>
          <cell r="K37">
            <v>394089.09230769234</v>
          </cell>
          <cell r="L37" t="str">
            <v/>
          </cell>
        </row>
        <row r="38">
          <cell r="C38" t="str">
            <v/>
          </cell>
          <cell r="E38" t="str">
            <v>Máy trộn bê tông -250,0 lít</v>
          </cell>
          <cell r="F38" t="str">
            <v>M</v>
          </cell>
          <cell r="G38" t="str">
            <v>Ca</v>
          </cell>
          <cell r="H38">
            <v>0.095</v>
          </cell>
          <cell r="I38">
            <v>282968.0587692308</v>
          </cell>
          <cell r="J38" t="str">
            <v/>
          </cell>
          <cell r="K38" t="str">
            <v/>
          </cell>
          <cell r="L38">
            <v>26881.965583076926</v>
          </cell>
        </row>
        <row r="39">
          <cell r="C39" t="str">
            <v/>
          </cell>
          <cell r="E39" t="str">
            <v>Máy đầm bê tông, đầm dùi: 0,8 Kw</v>
          </cell>
          <cell r="F39" t="str">
            <v>M</v>
          </cell>
          <cell r="G39" t="str">
            <v>Ca</v>
          </cell>
          <cell r="H39">
            <v>0.18</v>
          </cell>
          <cell r="I39">
            <v>230769.5067692308</v>
          </cell>
          <cell r="J39" t="str">
            <v/>
          </cell>
          <cell r="K39" t="str">
            <v/>
          </cell>
          <cell r="L39">
            <v>41538.51121846154</v>
          </cell>
        </row>
        <row r="40">
          <cell r="C40" t="str">
            <v/>
          </cell>
          <cell r="E40" t="str">
            <v>Máy khác</v>
          </cell>
          <cell r="F40" t="str">
            <v>M</v>
          </cell>
          <cell r="G40" t="str">
            <v>%</v>
          </cell>
          <cell r="H40">
            <v>10</v>
          </cell>
          <cell r="I40">
            <v>0</v>
          </cell>
          <cell r="J40" t="str">
            <v/>
          </cell>
          <cell r="K40" t="str">
            <v/>
          </cell>
          <cell r="L40">
            <v>0</v>
          </cell>
        </row>
        <row r="41">
          <cell r="C41" t="str">
            <v/>
          </cell>
          <cell r="E41" t="str">
            <v>Chi phí trực tiếp khác</v>
          </cell>
          <cell r="F41" t="str">
            <v>TT</v>
          </cell>
          <cell r="G41" t="str">
            <v>VNĐ</v>
          </cell>
          <cell r="H41">
            <v>0.02</v>
          </cell>
          <cell r="I41">
            <v>0</v>
          </cell>
        </row>
        <row r="42">
          <cell r="C42" t="str">
            <v/>
          </cell>
          <cell r="E42" t="str">
            <v>Chi phí trực tiếp</v>
          </cell>
          <cell r="F42" t="str">
            <v>T</v>
          </cell>
          <cell r="G42" t="str">
            <v>VNĐ</v>
          </cell>
          <cell r="H42">
            <v>1</v>
          </cell>
          <cell r="I42">
            <v>0</v>
          </cell>
        </row>
        <row r="43">
          <cell r="C43" t="str">
            <v/>
          </cell>
          <cell r="E43" t="str">
            <v>Chi phí chung</v>
          </cell>
          <cell r="F43" t="str">
            <v>C</v>
          </cell>
          <cell r="G43" t="str">
            <v>VNĐ</v>
          </cell>
          <cell r="H43">
            <v>0.05</v>
          </cell>
          <cell r="I43">
            <v>0</v>
          </cell>
        </row>
        <row r="44">
          <cell r="C44" t="str">
            <v/>
          </cell>
          <cell r="E44" t="str">
            <v>Thu nhập chịu thuế tính trước</v>
          </cell>
          <cell r="F44" t="str">
            <v>TL</v>
          </cell>
          <cell r="G44" t="str">
            <v>VNĐ</v>
          </cell>
          <cell r="H44">
            <v>0.055</v>
          </cell>
          <cell r="I44">
            <v>0</v>
          </cell>
        </row>
        <row r="45">
          <cell r="C45" t="str">
            <v/>
          </cell>
          <cell r="E45" t="str">
            <v>Chi phí xây dựng trước thuế</v>
          </cell>
          <cell r="F45" t="str">
            <v>G</v>
          </cell>
          <cell r="G45" t="str">
            <v>VNĐ</v>
          </cell>
          <cell r="H45">
            <v>1</v>
          </cell>
          <cell r="I45">
            <v>0</v>
          </cell>
        </row>
        <row r="46">
          <cell r="C46" t="str">
            <v/>
          </cell>
          <cell r="E46" t="str">
            <v>Thuế giá trị gia tăng </v>
          </cell>
          <cell r="F46" t="str">
            <v>VAT</v>
          </cell>
          <cell r="G46" t="str">
            <v>VNĐ</v>
          </cell>
          <cell r="H46">
            <v>0.1</v>
          </cell>
          <cell r="I46">
            <v>0</v>
          </cell>
        </row>
        <row r="47">
          <cell r="C47" t="str">
            <v/>
          </cell>
          <cell r="E47" t="str">
            <v>Chi phí xây dựng sau thuế</v>
          </cell>
          <cell r="F47" t="str">
            <v>GST</v>
          </cell>
          <cell r="G47" t="str">
            <v>VNĐ</v>
          </cell>
          <cell r="H47">
            <v>1</v>
          </cell>
          <cell r="I47">
            <v>0</v>
          </cell>
        </row>
        <row r="48">
          <cell r="C48" t="str">
            <v/>
          </cell>
          <cell r="E48" t="str">
            <v>Chi phí lán trại tại hiện trường</v>
          </cell>
          <cell r="F48" t="str">
            <v>GXDNT</v>
          </cell>
          <cell r="G48" t="str">
            <v>VNĐ</v>
          </cell>
          <cell r="H48">
            <v>0.01</v>
          </cell>
          <cell r="I48">
            <v>0</v>
          </cell>
        </row>
        <row r="49">
          <cell r="C49" t="str">
            <v/>
          </cell>
          <cell r="E49" t="str">
            <v>Chi phí xây dựng tổng cộng</v>
          </cell>
          <cell r="F49" t="str">
            <v>GXD</v>
          </cell>
          <cell r="G49" t="str">
            <v>VNĐ</v>
          </cell>
          <cell r="H49" t="str">
            <v>GST + GXDNT</v>
          </cell>
        </row>
        <row r="50">
          <cell r="C50">
            <v>3</v>
          </cell>
          <cell r="D50" t="str">
            <v>AF.11420</v>
          </cell>
          <cell r="E50" t="str">
            <v>Bê tông bệ móng M200, đá 1x2</v>
          </cell>
          <cell r="F50" t="str">
            <v/>
          </cell>
          <cell r="G50" t="str">
            <v>m3</v>
          </cell>
          <cell r="I50" t="str">
            <v/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/>
          </cell>
          <cell r="E51" t="str">
            <v>Vữa BT M200 đá 1x2</v>
          </cell>
          <cell r="F51" t="str">
            <v>VL</v>
          </cell>
          <cell r="G51" t="str">
            <v>m3</v>
          </cell>
          <cell r="H51">
            <v>1.025</v>
          </cell>
          <cell r="I51">
            <v>842410.6498204545</v>
          </cell>
          <cell r="J51">
            <v>863470.9160659658</v>
          </cell>
          <cell r="K51" t="str">
            <v/>
          </cell>
          <cell r="L51" t="str">
            <v/>
          </cell>
        </row>
        <row r="52">
          <cell r="C52" t="str">
            <v/>
          </cell>
          <cell r="E52" t="str">
            <v>Vật liệu khác</v>
          </cell>
          <cell r="F52" t="str">
            <v>VL</v>
          </cell>
          <cell r="G52" t="str">
            <v>%</v>
          </cell>
          <cell r="H52">
            <v>1</v>
          </cell>
          <cell r="I52">
            <v>0</v>
          </cell>
          <cell r="J52">
            <v>0</v>
          </cell>
          <cell r="K52" t="str">
            <v/>
          </cell>
          <cell r="L52" t="str">
            <v/>
          </cell>
        </row>
        <row r="53">
          <cell r="C53" t="str">
            <v/>
          </cell>
          <cell r="E53" t="str">
            <v>Nhân công bậc: 3/7</v>
          </cell>
          <cell r="F53" t="str">
            <v>NC</v>
          </cell>
          <cell r="G53" t="str">
            <v>Công</v>
          </cell>
          <cell r="H53">
            <v>2.41</v>
          </cell>
          <cell r="I53">
            <v>215349.23076923078</v>
          </cell>
          <cell r="J53" t="str">
            <v/>
          </cell>
          <cell r="K53">
            <v>518991.64615384623</v>
          </cell>
          <cell r="L53" t="str">
            <v/>
          </cell>
        </row>
        <row r="54">
          <cell r="C54" t="str">
            <v/>
          </cell>
          <cell r="E54" t="str">
            <v>Máy trộn bê tông -250,0 lít</v>
          </cell>
          <cell r="F54" t="str">
            <v>M</v>
          </cell>
          <cell r="G54" t="str">
            <v>Ca</v>
          </cell>
          <cell r="H54">
            <v>0.095</v>
          </cell>
          <cell r="I54">
            <v>282968.0587692308</v>
          </cell>
          <cell r="J54" t="str">
            <v/>
          </cell>
          <cell r="K54" t="str">
            <v/>
          </cell>
          <cell r="L54">
            <v>26881.965583076926</v>
          </cell>
        </row>
        <row r="55">
          <cell r="C55" t="str">
            <v/>
          </cell>
          <cell r="E55" t="str">
            <v>Máy đầm bê tông, đầm dùi: 0,8 Kw</v>
          </cell>
          <cell r="F55" t="str">
            <v>M</v>
          </cell>
          <cell r="G55" t="str">
            <v>Ca</v>
          </cell>
          <cell r="H55">
            <v>0.089</v>
          </cell>
          <cell r="I55">
            <v>230769.5067692308</v>
          </cell>
          <cell r="J55" t="str">
            <v/>
          </cell>
          <cell r="K55" t="str">
            <v/>
          </cell>
          <cell r="L55">
            <v>20538.48610246154</v>
          </cell>
        </row>
        <row r="56">
          <cell r="C56" t="str">
            <v/>
          </cell>
          <cell r="E56" t="str">
            <v>Chi phí trực tiếp khác</v>
          </cell>
          <cell r="F56" t="str">
            <v>TT</v>
          </cell>
          <cell r="G56" t="str">
            <v>VNĐ</v>
          </cell>
          <cell r="H56">
            <v>0.02</v>
          </cell>
          <cell r="I56">
            <v>0</v>
          </cell>
        </row>
        <row r="57">
          <cell r="C57" t="str">
            <v/>
          </cell>
          <cell r="E57" t="str">
            <v>Chi phí trực tiếp</v>
          </cell>
          <cell r="F57" t="str">
            <v>T</v>
          </cell>
          <cell r="G57" t="str">
            <v>VNĐ</v>
          </cell>
          <cell r="H57">
            <v>1</v>
          </cell>
          <cell r="I57">
            <v>0</v>
          </cell>
        </row>
        <row r="58">
          <cell r="C58" t="str">
            <v/>
          </cell>
          <cell r="E58" t="str">
            <v>Chi phí chung</v>
          </cell>
          <cell r="F58" t="str">
            <v>C</v>
          </cell>
          <cell r="G58" t="str">
            <v>VNĐ</v>
          </cell>
          <cell r="H58">
            <v>0.05</v>
          </cell>
          <cell r="I58">
            <v>0</v>
          </cell>
        </row>
        <row r="59">
          <cell r="C59" t="str">
            <v/>
          </cell>
          <cell r="E59" t="str">
            <v>Thu nhập chịu thuế tính trước</v>
          </cell>
          <cell r="F59" t="str">
            <v>TL</v>
          </cell>
          <cell r="G59" t="str">
            <v>VNĐ</v>
          </cell>
          <cell r="H59">
            <v>0.055</v>
          </cell>
          <cell r="I59">
            <v>0</v>
          </cell>
        </row>
        <row r="60">
          <cell r="C60" t="str">
            <v/>
          </cell>
          <cell r="E60" t="str">
            <v>Chi phí xây dựng trước thuế</v>
          </cell>
          <cell r="F60" t="str">
            <v>G</v>
          </cell>
          <cell r="G60" t="str">
            <v>VNĐ</v>
          </cell>
          <cell r="H60">
            <v>1</v>
          </cell>
          <cell r="I60">
            <v>0</v>
          </cell>
        </row>
        <row r="61">
          <cell r="C61" t="str">
            <v/>
          </cell>
          <cell r="E61" t="str">
            <v>Thuế giá trị gia tăng </v>
          </cell>
          <cell r="F61" t="str">
            <v>VAT</v>
          </cell>
          <cell r="G61" t="str">
            <v>VNĐ</v>
          </cell>
          <cell r="H61">
            <v>0.1</v>
          </cell>
          <cell r="I61">
            <v>0</v>
          </cell>
        </row>
        <row r="62">
          <cell r="C62" t="str">
            <v/>
          </cell>
          <cell r="E62" t="str">
            <v>Chi phí xây dựng sau thuế</v>
          </cell>
          <cell r="F62" t="str">
            <v>GST</v>
          </cell>
          <cell r="G62" t="str">
            <v>VNĐ</v>
          </cell>
          <cell r="H62">
            <v>1</v>
          </cell>
          <cell r="I62">
            <v>0</v>
          </cell>
        </row>
        <row r="63">
          <cell r="C63" t="str">
            <v/>
          </cell>
          <cell r="E63" t="str">
            <v>Chi phí lán trại tại hiện trường</v>
          </cell>
          <cell r="F63" t="str">
            <v>GXDNT</v>
          </cell>
          <cell r="G63" t="str">
            <v>VNĐ</v>
          </cell>
          <cell r="H63">
            <v>0.01</v>
          </cell>
          <cell r="I63">
            <v>0</v>
          </cell>
        </row>
        <row r="64">
          <cell r="C64" t="str">
            <v/>
          </cell>
          <cell r="E64" t="str">
            <v>Chi phí xây dựng tổng cộng</v>
          </cell>
          <cell r="F64" t="str">
            <v>GXD</v>
          </cell>
          <cell r="G64" t="str">
            <v>VNĐ</v>
          </cell>
          <cell r="H64" t="str">
            <v>GST + GXDNT</v>
          </cell>
        </row>
        <row r="65">
          <cell r="C65">
            <v>4</v>
          </cell>
          <cell r="D65" t="str">
            <v>AG.11510</v>
          </cell>
          <cell r="E65" t="str">
            <v>Bê tông bệ móng M150, đá 1x2</v>
          </cell>
          <cell r="F65" t="str">
            <v/>
          </cell>
          <cell r="G65" t="str">
            <v>m3</v>
          </cell>
          <cell r="I65" t="str">
            <v/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/>
          </cell>
          <cell r="E66" t="str">
            <v>Vữa BT M150 đá 1x2</v>
          </cell>
          <cell r="F66" t="str">
            <v>VL</v>
          </cell>
          <cell r="G66" t="str">
            <v>m3</v>
          </cell>
          <cell r="H66">
            <v>1.015</v>
          </cell>
          <cell r="I66">
            <v>755507.4352329546</v>
          </cell>
          <cell r="J66">
            <v>766840.0467614488</v>
          </cell>
          <cell r="K66" t="str">
            <v/>
          </cell>
          <cell r="L66" t="str">
            <v/>
          </cell>
        </row>
        <row r="67">
          <cell r="C67" t="str">
            <v/>
          </cell>
          <cell r="E67" t="str">
            <v>Vật liệu khác</v>
          </cell>
          <cell r="F67" t="str">
            <v>VL</v>
          </cell>
          <cell r="G67" t="str">
            <v>%</v>
          </cell>
          <cell r="H67">
            <v>0.5</v>
          </cell>
          <cell r="I67">
            <v>0</v>
          </cell>
          <cell r="J67">
            <v>0</v>
          </cell>
          <cell r="K67" t="str">
            <v/>
          </cell>
          <cell r="L67" t="str">
            <v/>
          </cell>
        </row>
        <row r="68">
          <cell r="C68" t="str">
            <v/>
          </cell>
          <cell r="E68" t="str">
            <v>Nhân công bậc: 3,5/7</v>
          </cell>
          <cell r="F68" t="str">
            <v>NC</v>
          </cell>
          <cell r="G68" t="str">
            <v>Công</v>
          </cell>
          <cell r="H68">
            <v>2.24</v>
          </cell>
          <cell r="I68">
            <v>232795.38461538462</v>
          </cell>
          <cell r="J68" t="str">
            <v/>
          </cell>
          <cell r="K68">
            <v>521461.66153846163</v>
          </cell>
          <cell r="L68" t="str">
            <v/>
          </cell>
        </row>
        <row r="69">
          <cell r="C69" t="str">
            <v/>
          </cell>
          <cell r="E69" t="str">
            <v>Máy trộn bê tông -250,0 lít</v>
          </cell>
          <cell r="F69" t="str">
            <v>M</v>
          </cell>
          <cell r="G69" t="str">
            <v>Ca</v>
          </cell>
          <cell r="H69">
            <v>0.095</v>
          </cell>
          <cell r="I69">
            <v>282968.0587692308</v>
          </cell>
          <cell r="J69" t="str">
            <v/>
          </cell>
          <cell r="K69" t="str">
            <v/>
          </cell>
          <cell r="L69">
            <v>26881.965583076926</v>
          </cell>
        </row>
        <row r="70">
          <cell r="C70" t="str">
            <v/>
          </cell>
          <cell r="E70" t="str">
            <v>Máy khác</v>
          </cell>
          <cell r="F70" t="str">
            <v>M</v>
          </cell>
          <cell r="G70" t="str">
            <v>%</v>
          </cell>
          <cell r="H70">
            <v>10</v>
          </cell>
          <cell r="I70">
            <v>0</v>
          </cell>
          <cell r="J70" t="str">
            <v/>
          </cell>
          <cell r="K70" t="str">
            <v/>
          </cell>
          <cell r="L70">
            <v>0</v>
          </cell>
        </row>
        <row r="71">
          <cell r="C71" t="str">
            <v/>
          </cell>
          <cell r="E71" t="str">
            <v>Chi phí trực tiếp khác</v>
          </cell>
          <cell r="F71" t="str">
            <v>TT</v>
          </cell>
          <cell r="G71" t="str">
            <v>VNĐ</v>
          </cell>
          <cell r="H71">
            <v>0.02</v>
          </cell>
          <cell r="I71">
            <v>0</v>
          </cell>
        </row>
        <row r="72">
          <cell r="C72" t="str">
            <v/>
          </cell>
          <cell r="E72" t="str">
            <v>Chi phí trực tiếp</v>
          </cell>
          <cell r="F72" t="str">
            <v>T</v>
          </cell>
          <cell r="G72" t="str">
            <v>VNĐ</v>
          </cell>
          <cell r="H72">
            <v>1</v>
          </cell>
          <cell r="I72">
            <v>0</v>
          </cell>
        </row>
        <row r="73">
          <cell r="C73" t="str">
            <v/>
          </cell>
          <cell r="E73" t="str">
            <v>Chi phí chung</v>
          </cell>
          <cell r="F73" t="str">
            <v>C</v>
          </cell>
          <cell r="G73" t="str">
            <v>VNĐ</v>
          </cell>
          <cell r="H73">
            <v>0.05</v>
          </cell>
          <cell r="I73">
            <v>0</v>
          </cell>
        </row>
        <row r="74">
          <cell r="C74" t="str">
            <v/>
          </cell>
          <cell r="E74" t="str">
            <v>Thu nhập chịu thuế tính trước</v>
          </cell>
          <cell r="F74" t="str">
            <v>TL</v>
          </cell>
          <cell r="G74" t="str">
            <v>VNĐ</v>
          </cell>
          <cell r="H74">
            <v>0.055</v>
          </cell>
          <cell r="I74">
            <v>0</v>
          </cell>
        </row>
        <row r="75">
          <cell r="C75" t="str">
            <v/>
          </cell>
          <cell r="E75" t="str">
            <v>Chi phí xây dựng trước thuế</v>
          </cell>
          <cell r="F75" t="str">
            <v>G</v>
          </cell>
          <cell r="G75" t="str">
            <v>VNĐ</v>
          </cell>
          <cell r="H75">
            <v>1</v>
          </cell>
          <cell r="I75">
            <v>0</v>
          </cell>
        </row>
        <row r="76">
          <cell r="C76" t="str">
            <v/>
          </cell>
          <cell r="E76" t="str">
            <v>Thuế giá trị gia tăng </v>
          </cell>
          <cell r="F76" t="str">
            <v>VAT</v>
          </cell>
          <cell r="G76" t="str">
            <v>VNĐ</v>
          </cell>
          <cell r="H76">
            <v>0.1</v>
          </cell>
          <cell r="I76">
            <v>0</v>
          </cell>
        </row>
        <row r="77">
          <cell r="C77" t="str">
            <v/>
          </cell>
          <cell r="E77" t="str">
            <v>Chi phí xây dựng sau thuế</v>
          </cell>
          <cell r="F77" t="str">
            <v>GST</v>
          </cell>
          <cell r="G77" t="str">
            <v>VNĐ</v>
          </cell>
          <cell r="H77">
            <v>1</v>
          </cell>
          <cell r="I77">
            <v>0</v>
          </cell>
        </row>
        <row r="78">
          <cell r="C78" t="str">
            <v/>
          </cell>
          <cell r="E78" t="str">
            <v>Chi phí lán trại tại hiện trường</v>
          </cell>
          <cell r="F78" t="str">
            <v>GXDNT</v>
          </cell>
          <cell r="G78" t="str">
            <v>VNĐ</v>
          </cell>
          <cell r="H78">
            <v>0.01</v>
          </cell>
          <cell r="I78">
            <v>0</v>
          </cell>
        </row>
        <row r="79">
          <cell r="C79" t="str">
            <v/>
          </cell>
          <cell r="E79" t="str">
            <v>Chi phí xây dựng tổng cộng</v>
          </cell>
          <cell r="F79" t="str">
            <v>GXD</v>
          </cell>
          <cell r="G79" t="str">
            <v>VNĐ</v>
          </cell>
          <cell r="H79" t="str">
            <v>GST + GXDNT</v>
          </cell>
        </row>
        <row r="80">
          <cell r="C80">
            <v>5</v>
          </cell>
          <cell r="D80" t="str">
            <v>AF.11420</v>
          </cell>
          <cell r="E80" t="str">
            <v>Vữa chèn M100</v>
          </cell>
          <cell r="F80" t="str">
            <v/>
          </cell>
          <cell r="G80" t="str">
            <v>m3</v>
          </cell>
          <cell r="I80" t="str">
            <v/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/>
          </cell>
          <cell r="E81" t="str">
            <v>Vữa xi măng M100</v>
          </cell>
          <cell r="F81" t="str">
            <v>VL</v>
          </cell>
          <cell r="G81" t="str">
            <v>m3</v>
          </cell>
          <cell r="H81">
            <v>1.03</v>
          </cell>
          <cell r="I81">
            <v>651710.6396363637</v>
          </cell>
          <cell r="J81">
            <v>671261.9588254547</v>
          </cell>
          <cell r="K81" t="str">
            <v/>
          </cell>
          <cell r="L81" t="str">
            <v/>
          </cell>
        </row>
        <row r="82">
          <cell r="C82" t="str">
            <v/>
          </cell>
          <cell r="E82" t="str">
            <v>Nhân công bậc: 3/7</v>
          </cell>
          <cell r="F82" t="str">
            <v>NC</v>
          </cell>
          <cell r="G82" t="str">
            <v>Công</v>
          </cell>
          <cell r="H82">
            <v>1.42</v>
          </cell>
          <cell r="I82">
            <v>215349.23076923078</v>
          </cell>
          <cell r="J82" t="str">
            <v/>
          </cell>
          <cell r="K82">
            <v>305795.90769230766</v>
          </cell>
          <cell r="L82" t="str">
            <v/>
          </cell>
        </row>
        <row r="83">
          <cell r="C83" t="str">
            <v/>
          </cell>
          <cell r="E83" t="str">
            <v>Chi phí trực tiếp khác</v>
          </cell>
          <cell r="F83" t="str">
            <v>TT</v>
          </cell>
          <cell r="G83" t="str">
            <v>VNĐ</v>
          </cell>
          <cell r="H83">
            <v>0.02</v>
          </cell>
          <cell r="I83">
            <v>0</v>
          </cell>
        </row>
        <row r="84">
          <cell r="C84" t="str">
            <v/>
          </cell>
          <cell r="E84" t="str">
            <v>Chi phí trực tiếp</v>
          </cell>
          <cell r="F84" t="str">
            <v>T</v>
          </cell>
          <cell r="G84" t="str">
            <v>VNĐ</v>
          </cell>
          <cell r="H84">
            <v>1</v>
          </cell>
          <cell r="I84">
            <v>0</v>
          </cell>
        </row>
        <row r="85">
          <cell r="C85" t="str">
            <v/>
          </cell>
          <cell r="E85" t="str">
            <v>Chi phí chung</v>
          </cell>
          <cell r="F85" t="str">
            <v>C</v>
          </cell>
          <cell r="G85" t="str">
            <v>VNĐ</v>
          </cell>
          <cell r="H85">
            <v>0.05</v>
          </cell>
          <cell r="I85">
            <v>0</v>
          </cell>
        </row>
        <row r="86">
          <cell r="C86" t="str">
            <v/>
          </cell>
          <cell r="E86" t="str">
            <v>Thu nhập chịu thuế tính trước</v>
          </cell>
          <cell r="F86" t="str">
            <v>TL</v>
          </cell>
          <cell r="G86" t="str">
            <v>VNĐ</v>
          </cell>
          <cell r="H86">
            <v>0.055</v>
          </cell>
          <cell r="I86">
            <v>0</v>
          </cell>
        </row>
        <row r="87">
          <cell r="C87" t="str">
            <v/>
          </cell>
          <cell r="E87" t="str">
            <v>Chi phí xây dựng trước thuế</v>
          </cell>
          <cell r="F87" t="str">
            <v>G</v>
          </cell>
          <cell r="G87" t="str">
            <v>VNĐ</v>
          </cell>
          <cell r="H87">
            <v>1</v>
          </cell>
          <cell r="I87">
            <v>0</v>
          </cell>
        </row>
        <row r="88">
          <cell r="C88" t="str">
            <v/>
          </cell>
          <cell r="E88" t="str">
            <v>Thuế giá trị gia tăng </v>
          </cell>
          <cell r="F88" t="str">
            <v>VAT</v>
          </cell>
          <cell r="G88" t="str">
            <v>VNĐ</v>
          </cell>
          <cell r="H88">
            <v>0.1</v>
          </cell>
          <cell r="I88">
            <v>0</v>
          </cell>
        </row>
        <row r="89">
          <cell r="C89" t="str">
            <v/>
          </cell>
          <cell r="E89" t="str">
            <v>Chi phí xây dựng sau thuế</v>
          </cell>
          <cell r="F89" t="str">
            <v>GST</v>
          </cell>
          <cell r="G89" t="str">
            <v>VNĐ</v>
          </cell>
          <cell r="H89">
            <v>1</v>
          </cell>
          <cell r="I89">
            <v>0</v>
          </cell>
        </row>
        <row r="90">
          <cell r="C90" t="str">
            <v/>
          </cell>
          <cell r="E90" t="str">
            <v>Chi phí lán trại tại hiện trường</v>
          </cell>
          <cell r="F90" t="str">
            <v>GXDNT</v>
          </cell>
          <cell r="G90" t="str">
            <v>VNĐ</v>
          </cell>
          <cell r="H90">
            <v>0.01</v>
          </cell>
          <cell r="I90">
            <v>0</v>
          </cell>
        </row>
        <row r="91">
          <cell r="C91" t="str">
            <v/>
          </cell>
          <cell r="E91" t="str">
            <v>Chi phí xây dựng tổng cộng</v>
          </cell>
          <cell r="F91" t="str">
            <v>GXD</v>
          </cell>
          <cell r="G91" t="str">
            <v>VNĐ</v>
          </cell>
          <cell r="H91" t="str">
            <v>GST + GXDNT</v>
          </cell>
        </row>
        <row r="92">
          <cell r="C92">
            <v>6</v>
          </cell>
          <cell r="D92" t="str">
            <v>AG.13111</v>
          </cell>
          <cell r="E92" t="str">
            <v>Cốt thép cọc BTCT đúc sẵn Ø ≤10mm</v>
          </cell>
          <cell r="F92" t="str">
            <v/>
          </cell>
          <cell r="G92" t="str">
            <v>Kg</v>
          </cell>
          <cell r="I92" t="str">
            <v/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/>
          </cell>
          <cell r="E93" t="str">
            <v>Thép tròn Ø&lt;=10mm</v>
          </cell>
          <cell r="F93" t="str">
            <v>VL</v>
          </cell>
          <cell r="G93" t="str">
            <v>Kg</v>
          </cell>
          <cell r="H93">
            <v>1.005</v>
          </cell>
          <cell r="I93">
            <v>16536.617725</v>
          </cell>
          <cell r="J93">
            <v>16619.300813625</v>
          </cell>
          <cell r="K93" t="str">
            <v/>
          </cell>
          <cell r="L93" t="str">
            <v/>
          </cell>
        </row>
        <row r="94">
          <cell r="C94" t="str">
            <v/>
          </cell>
          <cell r="E94" t="str">
            <v>Dây thép</v>
          </cell>
          <cell r="F94" t="str">
            <v>VL</v>
          </cell>
          <cell r="G94" t="str">
            <v>Kg</v>
          </cell>
          <cell r="H94">
            <v>0.02142</v>
          </cell>
          <cell r="I94">
            <v>18336.617725</v>
          </cell>
          <cell r="J94">
            <v>392.77035166950003</v>
          </cell>
          <cell r="K94" t="str">
            <v/>
          </cell>
          <cell r="L94" t="str">
            <v/>
          </cell>
        </row>
        <row r="95">
          <cell r="C95" t="str">
            <v/>
          </cell>
          <cell r="E95" t="str">
            <v>Que hàn sắt</v>
          </cell>
          <cell r="F95" t="str">
            <v>VL</v>
          </cell>
          <cell r="G95" t="str">
            <v>Kg</v>
          </cell>
          <cell r="H95">
            <v>0</v>
          </cell>
          <cell r="I95">
            <v>15500</v>
          </cell>
          <cell r="J95">
            <v>0</v>
          </cell>
          <cell r="K95" t="str">
            <v/>
          </cell>
          <cell r="L95" t="str">
            <v/>
          </cell>
        </row>
        <row r="96">
          <cell r="C96" t="str">
            <v/>
          </cell>
          <cell r="E96" t="str">
            <v>Nhân công bậc: 3,5/7</v>
          </cell>
          <cell r="F96" t="str">
            <v>NC</v>
          </cell>
          <cell r="G96" t="str">
            <v>Công</v>
          </cell>
          <cell r="H96">
            <v>0.01425</v>
          </cell>
          <cell r="I96">
            <v>232795.38461538462</v>
          </cell>
          <cell r="J96" t="str">
            <v/>
          </cell>
          <cell r="K96">
            <v>3317.334230769231</v>
          </cell>
          <cell r="L96" t="str">
            <v/>
          </cell>
        </row>
        <row r="97">
          <cell r="C97" t="str">
            <v/>
          </cell>
          <cell r="E97" t="str">
            <v>Biến thế hàn xoay chiều: 23,0 Kw</v>
          </cell>
          <cell r="F97" t="str">
            <v>M</v>
          </cell>
          <cell r="G97" t="str">
            <v>Ca</v>
          </cell>
          <cell r="H97">
            <v>0</v>
          </cell>
          <cell r="I97">
            <v>350503.9914615385</v>
          </cell>
          <cell r="J97" t="str">
            <v/>
          </cell>
          <cell r="K97" t="str">
            <v/>
          </cell>
          <cell r="L97">
            <v>0</v>
          </cell>
        </row>
        <row r="98">
          <cell r="C98" t="str">
            <v/>
          </cell>
          <cell r="E98" t="str">
            <v>Máy cắt uốn cốt thép - 5,0 Kw </v>
          </cell>
          <cell r="F98" t="str">
            <v>M</v>
          </cell>
          <cell r="G98" t="str">
            <v>Ca</v>
          </cell>
          <cell r="H98">
            <v>0.0004</v>
          </cell>
          <cell r="I98">
            <v>242995.42076923078</v>
          </cell>
          <cell r="J98" t="str">
            <v/>
          </cell>
          <cell r="K98" t="str">
            <v/>
          </cell>
          <cell r="L98">
            <v>97.19816830769231</v>
          </cell>
        </row>
        <row r="99">
          <cell r="C99" t="str">
            <v/>
          </cell>
          <cell r="E99" t="str">
            <v>Chi phí trực tiếp khác</v>
          </cell>
          <cell r="F99" t="str">
            <v>TT</v>
          </cell>
          <cell r="G99" t="str">
            <v>VNĐ</v>
          </cell>
          <cell r="H99">
            <v>0.02</v>
          </cell>
          <cell r="I99">
            <v>0</v>
          </cell>
        </row>
        <row r="100">
          <cell r="C100" t="str">
            <v/>
          </cell>
          <cell r="E100" t="str">
            <v>Chi phí trực tiếp</v>
          </cell>
          <cell r="F100" t="str">
            <v>T</v>
          </cell>
          <cell r="G100" t="str">
            <v>VNĐ</v>
          </cell>
          <cell r="H100">
            <v>1</v>
          </cell>
          <cell r="I100">
            <v>0</v>
          </cell>
        </row>
        <row r="101">
          <cell r="C101" t="str">
            <v/>
          </cell>
          <cell r="E101" t="str">
            <v>Chi phí chung</v>
          </cell>
          <cell r="F101" t="str">
            <v>C</v>
          </cell>
          <cell r="G101" t="str">
            <v>VNĐ</v>
          </cell>
          <cell r="H101">
            <v>0.05</v>
          </cell>
          <cell r="I101">
            <v>0</v>
          </cell>
        </row>
        <row r="102">
          <cell r="C102" t="str">
            <v/>
          </cell>
          <cell r="E102" t="str">
            <v>Thu nhập chịu thuế tính trước</v>
          </cell>
          <cell r="F102" t="str">
            <v>TL</v>
          </cell>
          <cell r="G102" t="str">
            <v>VNĐ</v>
          </cell>
          <cell r="H102">
            <v>0.055</v>
          </cell>
          <cell r="I102">
            <v>0</v>
          </cell>
        </row>
        <row r="103">
          <cell r="C103" t="str">
            <v/>
          </cell>
          <cell r="E103" t="str">
            <v>Chi phí xây dựng trước thuế</v>
          </cell>
          <cell r="F103" t="str">
            <v>G</v>
          </cell>
          <cell r="G103" t="str">
            <v>VNĐ</v>
          </cell>
          <cell r="H103">
            <v>1</v>
          </cell>
          <cell r="I103">
            <v>0</v>
          </cell>
        </row>
        <row r="104">
          <cell r="C104" t="str">
            <v/>
          </cell>
          <cell r="E104" t="str">
            <v>Thuế giá trị gia tăng </v>
          </cell>
          <cell r="F104" t="str">
            <v>VAT</v>
          </cell>
          <cell r="G104" t="str">
            <v>VNĐ</v>
          </cell>
          <cell r="H104">
            <v>0.1</v>
          </cell>
          <cell r="I104">
            <v>0</v>
          </cell>
        </row>
        <row r="105">
          <cell r="C105" t="str">
            <v/>
          </cell>
          <cell r="E105" t="str">
            <v>Chi phí xây dựng sau thuế</v>
          </cell>
          <cell r="F105" t="str">
            <v>GST</v>
          </cell>
          <cell r="G105" t="str">
            <v>VNĐ</v>
          </cell>
          <cell r="H105">
            <v>1</v>
          </cell>
          <cell r="I105">
            <v>0</v>
          </cell>
        </row>
        <row r="106">
          <cell r="C106" t="str">
            <v/>
          </cell>
          <cell r="E106" t="str">
            <v>Chi phí lán trại tại hiện trường</v>
          </cell>
          <cell r="F106" t="str">
            <v>GXDNT</v>
          </cell>
          <cell r="G106" t="str">
            <v>VNĐ</v>
          </cell>
          <cell r="H106">
            <v>0.01</v>
          </cell>
          <cell r="I106">
            <v>0</v>
          </cell>
        </row>
        <row r="107">
          <cell r="C107" t="str">
            <v/>
          </cell>
          <cell r="E107" t="str">
            <v>Chi phí xây dựng tổng cộng</v>
          </cell>
          <cell r="F107" t="str">
            <v>GXD</v>
          </cell>
          <cell r="G107" t="str">
            <v>VNĐ</v>
          </cell>
          <cell r="H107" t="str">
            <v>GST + GXDNT</v>
          </cell>
        </row>
        <row r="108">
          <cell r="C108">
            <v>7</v>
          </cell>
          <cell r="D108" t="str">
            <v>AG.31121</v>
          </cell>
          <cell r="E108" t="str">
            <v>Ván khuôn cọc, cột</v>
          </cell>
          <cell r="F108" t="str">
            <v/>
          </cell>
          <cell r="G108" t="str">
            <v>m2</v>
          </cell>
          <cell r="I108" t="str">
            <v/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/>
          </cell>
          <cell r="E109" t="str">
            <v>Gỗ ván khuôn</v>
          </cell>
          <cell r="F109" t="str">
            <v>VL</v>
          </cell>
          <cell r="G109" t="str">
            <v>m3</v>
          </cell>
          <cell r="H109">
            <v>0.00083</v>
          </cell>
          <cell r="I109">
            <v>3150000</v>
          </cell>
          <cell r="J109">
            <v>2614.5</v>
          </cell>
          <cell r="K109" t="str">
            <v/>
          </cell>
          <cell r="L109" t="str">
            <v/>
          </cell>
        </row>
        <row r="110">
          <cell r="C110" t="str">
            <v/>
          </cell>
          <cell r="E110" t="str">
            <v>Gỗ chống</v>
          </cell>
          <cell r="F110" t="str">
            <v>VL</v>
          </cell>
          <cell r="G110" t="str">
            <v>m3</v>
          </cell>
          <cell r="H110">
            <v>1.5E-05</v>
          </cell>
          <cell r="I110">
            <v>3360000</v>
          </cell>
          <cell r="J110">
            <v>50.4</v>
          </cell>
          <cell r="K110" t="str">
            <v/>
          </cell>
          <cell r="L110" t="str">
            <v/>
          </cell>
        </row>
        <row r="111">
          <cell r="C111" t="str">
            <v/>
          </cell>
          <cell r="E111" t="str">
            <v>Đinh các loại</v>
          </cell>
          <cell r="F111" t="str">
            <v>VL</v>
          </cell>
          <cell r="G111" t="str">
            <v>Kg</v>
          </cell>
          <cell r="H111">
            <v>0.1</v>
          </cell>
          <cell r="I111">
            <v>17500</v>
          </cell>
          <cell r="J111">
            <v>1750</v>
          </cell>
          <cell r="K111" t="str">
            <v/>
          </cell>
          <cell r="L111" t="str">
            <v/>
          </cell>
        </row>
        <row r="112">
          <cell r="C112" t="str">
            <v/>
          </cell>
          <cell r="E112" t="str">
            <v>Vật liệu khác</v>
          </cell>
          <cell r="F112" t="str">
            <v>VL</v>
          </cell>
          <cell r="G112" t="str">
            <v>%</v>
          </cell>
          <cell r="H112">
            <v>1</v>
          </cell>
          <cell r="I112">
            <v>0</v>
          </cell>
          <cell r="J112">
            <v>0</v>
          </cell>
          <cell r="K112" t="str">
            <v/>
          </cell>
          <cell r="L112" t="str">
            <v/>
          </cell>
        </row>
        <row r="113">
          <cell r="C113" t="str">
            <v/>
          </cell>
          <cell r="E113" t="str">
            <v>Nhân công bậc: 3/7</v>
          </cell>
          <cell r="F113" t="str">
            <v>NC</v>
          </cell>
          <cell r="G113" t="str">
            <v>Công</v>
          </cell>
          <cell r="H113">
            <v>0.2871</v>
          </cell>
          <cell r="I113">
            <v>215349.23076923078</v>
          </cell>
          <cell r="J113" t="str">
            <v/>
          </cell>
          <cell r="K113">
            <v>61826.76415384616</v>
          </cell>
          <cell r="L113" t="str">
            <v/>
          </cell>
        </row>
        <row r="114">
          <cell r="C114" t="str">
            <v/>
          </cell>
          <cell r="E114" t="str">
            <v>Chi phí trực tiếp khác</v>
          </cell>
          <cell r="F114" t="str">
            <v>TT</v>
          </cell>
          <cell r="G114" t="str">
            <v>VNĐ</v>
          </cell>
          <cell r="H114">
            <v>0.02</v>
          </cell>
          <cell r="I114">
            <v>0</v>
          </cell>
        </row>
        <row r="115">
          <cell r="C115" t="str">
            <v/>
          </cell>
          <cell r="E115" t="str">
            <v>Chi phí trực tiếp</v>
          </cell>
          <cell r="F115" t="str">
            <v>T</v>
          </cell>
          <cell r="G115" t="str">
            <v>VNĐ</v>
          </cell>
          <cell r="H115">
            <v>1</v>
          </cell>
          <cell r="I115">
            <v>0</v>
          </cell>
        </row>
        <row r="116">
          <cell r="C116" t="str">
            <v/>
          </cell>
          <cell r="E116" t="str">
            <v>Chi phí chung</v>
          </cell>
          <cell r="F116" t="str">
            <v>C</v>
          </cell>
          <cell r="G116" t="str">
            <v>VNĐ</v>
          </cell>
          <cell r="H116">
            <v>0.05</v>
          </cell>
          <cell r="I116">
            <v>0</v>
          </cell>
        </row>
        <row r="117">
          <cell r="C117" t="str">
            <v/>
          </cell>
          <cell r="E117" t="str">
            <v>Thu nhập chịu thuế tính trước</v>
          </cell>
          <cell r="F117" t="str">
            <v>TL</v>
          </cell>
          <cell r="G117" t="str">
            <v>VNĐ</v>
          </cell>
          <cell r="H117">
            <v>0.055</v>
          </cell>
          <cell r="I117">
            <v>0</v>
          </cell>
        </row>
        <row r="118">
          <cell r="C118" t="str">
            <v/>
          </cell>
          <cell r="E118" t="str">
            <v>Chi phí xây dựng trước thuế</v>
          </cell>
          <cell r="F118" t="str">
            <v>G</v>
          </cell>
          <cell r="G118" t="str">
            <v>VNĐ</v>
          </cell>
          <cell r="H118">
            <v>1</v>
          </cell>
          <cell r="I118">
            <v>0</v>
          </cell>
        </row>
        <row r="119">
          <cell r="C119" t="str">
            <v/>
          </cell>
          <cell r="E119" t="str">
            <v>Thuế giá trị gia tăng </v>
          </cell>
          <cell r="F119" t="str">
            <v>VAT</v>
          </cell>
          <cell r="G119" t="str">
            <v>VNĐ</v>
          </cell>
          <cell r="H119">
            <v>0.1</v>
          </cell>
          <cell r="I119">
            <v>0</v>
          </cell>
        </row>
        <row r="120">
          <cell r="C120" t="str">
            <v/>
          </cell>
          <cell r="E120" t="str">
            <v>Chi phí xây dựng sau thuế</v>
          </cell>
          <cell r="F120" t="str">
            <v>GST</v>
          </cell>
          <cell r="G120" t="str">
            <v>VNĐ</v>
          </cell>
          <cell r="H120">
            <v>1</v>
          </cell>
          <cell r="I120">
            <v>0</v>
          </cell>
        </row>
        <row r="121">
          <cell r="C121" t="str">
            <v/>
          </cell>
          <cell r="E121" t="str">
            <v>Chi phí lán trại tại hiện trường</v>
          </cell>
          <cell r="F121" t="str">
            <v>GXDNT</v>
          </cell>
          <cell r="G121" t="str">
            <v>VNĐ</v>
          </cell>
          <cell r="H121">
            <v>0.01</v>
          </cell>
          <cell r="I121">
            <v>0</v>
          </cell>
        </row>
        <row r="122">
          <cell r="C122" t="str">
            <v/>
          </cell>
          <cell r="E122" t="str">
            <v>Chi phí xây dựng tổng cộng</v>
          </cell>
          <cell r="F122" t="str">
            <v>GXD</v>
          </cell>
          <cell r="G122" t="str">
            <v>VNĐ</v>
          </cell>
          <cell r="H122" t="str">
            <v>GST + GXDNT</v>
          </cell>
        </row>
        <row r="123">
          <cell r="C123">
            <v>8</v>
          </cell>
          <cell r="D123" t="str">
            <v>AG.31121</v>
          </cell>
          <cell r="E123" t="str">
            <v>Ván khuôn bệ cọc đúc sẵn</v>
          </cell>
          <cell r="F123" t="str">
            <v/>
          </cell>
          <cell r="G123" t="str">
            <v>m2</v>
          </cell>
          <cell r="I123" t="str">
            <v/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/>
          </cell>
          <cell r="E124" t="str">
            <v>Gỗ ván khuôn</v>
          </cell>
          <cell r="F124" t="str">
            <v>VL</v>
          </cell>
          <cell r="G124" t="str">
            <v>m3</v>
          </cell>
          <cell r="H124">
            <v>0.00083</v>
          </cell>
          <cell r="I124">
            <v>3150000</v>
          </cell>
          <cell r="J124">
            <v>2614.5</v>
          </cell>
          <cell r="K124" t="str">
            <v/>
          </cell>
          <cell r="L124" t="str">
            <v/>
          </cell>
        </row>
        <row r="125">
          <cell r="C125" t="str">
            <v/>
          </cell>
          <cell r="E125" t="str">
            <v>Gỗ chống</v>
          </cell>
          <cell r="F125" t="str">
            <v>VL</v>
          </cell>
          <cell r="G125" t="str">
            <v>m3</v>
          </cell>
          <cell r="H125">
            <v>1.5E-05</v>
          </cell>
          <cell r="I125">
            <v>3360000</v>
          </cell>
          <cell r="J125">
            <v>50.4</v>
          </cell>
          <cell r="K125" t="str">
            <v/>
          </cell>
          <cell r="L125" t="str">
            <v/>
          </cell>
        </row>
        <row r="126">
          <cell r="C126" t="str">
            <v/>
          </cell>
          <cell r="E126" t="str">
            <v>Đinh các loại</v>
          </cell>
          <cell r="F126" t="str">
            <v>VL</v>
          </cell>
          <cell r="G126" t="str">
            <v>Kg</v>
          </cell>
          <cell r="H126">
            <v>0.1</v>
          </cell>
          <cell r="I126">
            <v>17500</v>
          </cell>
          <cell r="J126">
            <v>1750</v>
          </cell>
          <cell r="K126" t="str">
            <v/>
          </cell>
          <cell r="L126" t="str">
            <v/>
          </cell>
        </row>
        <row r="127">
          <cell r="C127" t="str">
            <v/>
          </cell>
          <cell r="E127" t="str">
            <v>Vật liệu khác</v>
          </cell>
          <cell r="F127" t="str">
            <v>VL</v>
          </cell>
          <cell r="G127" t="str">
            <v>%</v>
          </cell>
          <cell r="H127">
            <v>1</v>
          </cell>
          <cell r="I127">
            <v>0</v>
          </cell>
          <cell r="J127">
            <v>0</v>
          </cell>
          <cell r="K127" t="str">
            <v/>
          </cell>
          <cell r="L127" t="str">
            <v/>
          </cell>
        </row>
        <row r="128">
          <cell r="C128" t="str">
            <v/>
          </cell>
          <cell r="E128" t="str">
            <v>Nhân công bậc: 3/7</v>
          </cell>
          <cell r="F128" t="str">
            <v>NC</v>
          </cell>
          <cell r="G128" t="str">
            <v>Công</v>
          </cell>
          <cell r="H128">
            <v>0.2871</v>
          </cell>
          <cell r="I128">
            <v>215349.23076923078</v>
          </cell>
          <cell r="J128" t="str">
            <v/>
          </cell>
          <cell r="K128">
            <v>61826.76415384616</v>
          </cell>
          <cell r="L128" t="str">
            <v/>
          </cell>
        </row>
        <row r="129">
          <cell r="C129" t="str">
            <v/>
          </cell>
          <cell r="E129" t="str">
            <v>Chi phí trực tiếp khác</v>
          </cell>
          <cell r="F129" t="str">
            <v>TT</v>
          </cell>
          <cell r="G129" t="str">
            <v>VNĐ</v>
          </cell>
          <cell r="H129">
            <v>0.02</v>
          </cell>
          <cell r="I129">
            <v>0</v>
          </cell>
        </row>
        <row r="130">
          <cell r="C130" t="str">
            <v/>
          </cell>
          <cell r="E130" t="str">
            <v>Chi phí trực tiếp</v>
          </cell>
          <cell r="F130" t="str">
            <v>T</v>
          </cell>
          <cell r="G130" t="str">
            <v>VNĐ</v>
          </cell>
          <cell r="H130">
            <v>1</v>
          </cell>
          <cell r="I130">
            <v>0</v>
          </cell>
        </row>
        <row r="131">
          <cell r="C131" t="str">
            <v/>
          </cell>
          <cell r="E131" t="str">
            <v>Chi phí chung</v>
          </cell>
          <cell r="F131" t="str">
            <v>C</v>
          </cell>
          <cell r="G131" t="str">
            <v>VNĐ</v>
          </cell>
          <cell r="H131">
            <v>0.05</v>
          </cell>
          <cell r="I131">
            <v>0</v>
          </cell>
        </row>
        <row r="132">
          <cell r="C132" t="str">
            <v/>
          </cell>
          <cell r="E132" t="str">
            <v>Thu nhập chịu thuế tính trước</v>
          </cell>
          <cell r="F132" t="str">
            <v>TL</v>
          </cell>
          <cell r="G132" t="str">
            <v>VNĐ</v>
          </cell>
          <cell r="H132">
            <v>0.055</v>
          </cell>
          <cell r="I132">
            <v>0</v>
          </cell>
        </row>
        <row r="133">
          <cell r="C133" t="str">
            <v/>
          </cell>
          <cell r="E133" t="str">
            <v>Chi phí xây dựng trước thuế</v>
          </cell>
          <cell r="F133" t="str">
            <v>G</v>
          </cell>
          <cell r="G133" t="str">
            <v>VNĐ</v>
          </cell>
          <cell r="H133">
            <v>1</v>
          </cell>
          <cell r="I133">
            <v>0</v>
          </cell>
        </row>
        <row r="134">
          <cell r="C134" t="str">
            <v/>
          </cell>
          <cell r="E134" t="str">
            <v>Thuế giá trị gia tăng </v>
          </cell>
          <cell r="F134" t="str">
            <v>VAT</v>
          </cell>
          <cell r="G134" t="str">
            <v>VNĐ</v>
          </cell>
          <cell r="H134">
            <v>0.1</v>
          </cell>
          <cell r="I134">
            <v>0</v>
          </cell>
        </row>
        <row r="135">
          <cell r="C135" t="str">
            <v/>
          </cell>
          <cell r="E135" t="str">
            <v>Chi phí xây dựng sau thuế</v>
          </cell>
          <cell r="F135" t="str">
            <v>GST</v>
          </cell>
          <cell r="G135" t="str">
            <v>VNĐ</v>
          </cell>
          <cell r="H135">
            <v>1</v>
          </cell>
          <cell r="I135">
            <v>0</v>
          </cell>
        </row>
        <row r="136">
          <cell r="C136" t="str">
            <v/>
          </cell>
          <cell r="E136" t="str">
            <v>Chi phí lán trại tại hiện trường</v>
          </cell>
          <cell r="F136" t="str">
            <v>GXDNT</v>
          </cell>
          <cell r="G136" t="str">
            <v>VNĐ</v>
          </cell>
          <cell r="H136">
            <v>0.01</v>
          </cell>
          <cell r="I136">
            <v>0</v>
          </cell>
        </row>
        <row r="137">
          <cell r="C137" t="str">
            <v/>
          </cell>
          <cell r="E137" t="str">
            <v>Chi phí xây dựng tổng cộng</v>
          </cell>
          <cell r="F137" t="str">
            <v>GXD</v>
          </cell>
          <cell r="G137" t="str">
            <v>VNĐ</v>
          </cell>
          <cell r="H137" t="str">
            <v>GST + GXDNT</v>
          </cell>
        </row>
        <row r="138">
          <cell r="C138">
            <v>9</v>
          </cell>
          <cell r="D138" t="str">
            <v>AF.81111</v>
          </cell>
          <cell r="E138" t="str">
            <v>Ván khuôn móng đổ tại chổ</v>
          </cell>
          <cell r="F138" t="str">
            <v/>
          </cell>
          <cell r="G138" t="str">
            <v>m2</v>
          </cell>
          <cell r="I138" t="str">
            <v/>
          </cell>
          <cell r="J138">
            <v>0</v>
          </cell>
          <cell r="K138">
            <v>0</v>
          </cell>
          <cell r="L138">
            <v>0</v>
          </cell>
        </row>
        <row r="139">
          <cell r="C139" t="str">
            <v/>
          </cell>
          <cell r="E139" t="str">
            <v>Gỗ ván khuôn</v>
          </cell>
          <cell r="F139" t="str">
            <v>VL</v>
          </cell>
          <cell r="G139" t="str">
            <v>m3</v>
          </cell>
          <cell r="H139">
            <v>0.00792</v>
          </cell>
          <cell r="I139">
            <v>3150000</v>
          </cell>
          <cell r="J139">
            <v>24948</v>
          </cell>
          <cell r="K139" t="str">
            <v/>
          </cell>
          <cell r="L139" t="str">
            <v/>
          </cell>
        </row>
        <row r="140">
          <cell r="C140" t="str">
            <v/>
          </cell>
          <cell r="E140" t="str">
            <v>Gỗ đà nẹp</v>
          </cell>
          <cell r="F140" t="str">
            <v>VL</v>
          </cell>
          <cell r="G140" t="str">
            <v>m3</v>
          </cell>
          <cell r="H140">
            <v>0.0008649999999999999</v>
          </cell>
          <cell r="I140">
            <v>3360000</v>
          </cell>
          <cell r="J140">
            <v>2906.3999999999996</v>
          </cell>
          <cell r="K140" t="str">
            <v/>
          </cell>
          <cell r="L140" t="str">
            <v/>
          </cell>
        </row>
        <row r="141">
          <cell r="C141" t="str">
            <v/>
          </cell>
          <cell r="E141" t="str">
            <v>Gỗ chống</v>
          </cell>
          <cell r="F141" t="str">
            <v>VL</v>
          </cell>
          <cell r="G141" t="str">
            <v>m3</v>
          </cell>
          <cell r="H141">
            <v>0.00459</v>
          </cell>
          <cell r="I141">
            <v>3360000</v>
          </cell>
          <cell r="J141">
            <v>15422.400000000001</v>
          </cell>
          <cell r="K141" t="str">
            <v/>
          </cell>
          <cell r="L141" t="str">
            <v/>
          </cell>
        </row>
        <row r="142">
          <cell r="C142" t="str">
            <v/>
          </cell>
          <cell r="E142" t="str">
            <v>Đinh các loại</v>
          </cell>
          <cell r="F142" t="str">
            <v>VL</v>
          </cell>
          <cell r="G142" t="str">
            <v>Kg</v>
          </cell>
          <cell r="H142">
            <v>0.12</v>
          </cell>
          <cell r="I142">
            <v>17500</v>
          </cell>
          <cell r="J142">
            <v>2100</v>
          </cell>
          <cell r="K142" t="str">
            <v/>
          </cell>
          <cell r="L142" t="str">
            <v/>
          </cell>
        </row>
        <row r="143">
          <cell r="C143" t="str">
            <v/>
          </cell>
          <cell r="E143" t="str">
            <v>Vật liệu khác</v>
          </cell>
          <cell r="F143" t="str">
            <v>VL</v>
          </cell>
          <cell r="G143" t="str">
            <v>%</v>
          </cell>
          <cell r="H143">
            <v>0.01</v>
          </cell>
          <cell r="I143">
            <v>0</v>
          </cell>
          <cell r="J143">
            <v>0</v>
          </cell>
          <cell r="K143" t="str">
            <v/>
          </cell>
          <cell r="L143" t="str">
            <v/>
          </cell>
        </row>
        <row r="144">
          <cell r="C144" t="str">
            <v/>
          </cell>
          <cell r="E144" t="str">
            <v>Nhân công bậc: 3,5/7</v>
          </cell>
          <cell r="F144" t="str">
            <v>NC</v>
          </cell>
          <cell r="G144" t="str">
            <v>Công</v>
          </cell>
          <cell r="H144">
            <v>0.1361</v>
          </cell>
          <cell r="I144">
            <v>232795.38461538462</v>
          </cell>
          <cell r="J144" t="str">
            <v/>
          </cell>
          <cell r="K144">
            <v>31683.451846153846</v>
          </cell>
          <cell r="L144" t="str">
            <v/>
          </cell>
        </row>
        <row r="145">
          <cell r="C145" t="str">
            <v/>
          </cell>
          <cell r="E145" t="str">
            <v>Chi phí trực tiếp khác</v>
          </cell>
          <cell r="F145" t="str">
            <v>TT</v>
          </cell>
          <cell r="G145" t="str">
            <v>VNĐ</v>
          </cell>
          <cell r="H145">
            <v>0.02</v>
          </cell>
          <cell r="I145">
            <v>0</v>
          </cell>
        </row>
        <row r="146">
          <cell r="C146" t="str">
            <v/>
          </cell>
          <cell r="E146" t="str">
            <v>Chi phí trực tiếp</v>
          </cell>
          <cell r="F146" t="str">
            <v>T</v>
          </cell>
          <cell r="G146" t="str">
            <v>VNĐ</v>
          </cell>
          <cell r="H146">
            <v>1</v>
          </cell>
          <cell r="I146">
            <v>0</v>
          </cell>
        </row>
        <row r="147">
          <cell r="C147" t="str">
            <v/>
          </cell>
          <cell r="E147" t="str">
            <v>Chi phí chung</v>
          </cell>
          <cell r="F147" t="str">
            <v>C</v>
          </cell>
          <cell r="G147" t="str">
            <v>VNĐ</v>
          </cell>
          <cell r="H147">
            <v>0.05</v>
          </cell>
          <cell r="I147">
            <v>0</v>
          </cell>
        </row>
        <row r="148">
          <cell r="C148" t="str">
            <v/>
          </cell>
          <cell r="E148" t="str">
            <v>Thu nhập chịu thuế tính trước</v>
          </cell>
          <cell r="F148" t="str">
            <v>TL</v>
          </cell>
          <cell r="G148" t="str">
            <v>VNĐ</v>
          </cell>
          <cell r="H148">
            <v>0.055</v>
          </cell>
          <cell r="I148">
            <v>0</v>
          </cell>
        </row>
        <row r="149">
          <cell r="C149" t="str">
            <v/>
          </cell>
          <cell r="E149" t="str">
            <v>Chi phí xây dựng trước thuế</v>
          </cell>
          <cell r="F149" t="str">
            <v>G</v>
          </cell>
          <cell r="G149" t="str">
            <v>VNĐ</v>
          </cell>
          <cell r="H149">
            <v>1</v>
          </cell>
          <cell r="I149">
            <v>0</v>
          </cell>
        </row>
        <row r="150">
          <cell r="C150" t="str">
            <v/>
          </cell>
          <cell r="E150" t="str">
            <v>Thuế giá trị gia tăng </v>
          </cell>
          <cell r="F150" t="str">
            <v>VAT</v>
          </cell>
          <cell r="G150" t="str">
            <v>VNĐ</v>
          </cell>
          <cell r="H150">
            <v>0.1</v>
          </cell>
          <cell r="I150">
            <v>0</v>
          </cell>
        </row>
        <row r="151">
          <cell r="C151" t="str">
            <v/>
          </cell>
          <cell r="E151" t="str">
            <v>Chi phí xây dựng sau thuế</v>
          </cell>
          <cell r="F151" t="str">
            <v>GST</v>
          </cell>
          <cell r="G151" t="str">
            <v>VNĐ</v>
          </cell>
          <cell r="H151">
            <v>1</v>
          </cell>
          <cell r="I151">
            <v>0</v>
          </cell>
        </row>
        <row r="152">
          <cell r="C152" t="str">
            <v/>
          </cell>
          <cell r="E152" t="str">
            <v>Chi phí lán trại tại hiện trường</v>
          </cell>
          <cell r="F152" t="str">
            <v>GXDNT</v>
          </cell>
          <cell r="G152" t="str">
            <v>VNĐ</v>
          </cell>
          <cell r="H152">
            <v>0.01</v>
          </cell>
          <cell r="I152">
            <v>0</v>
          </cell>
        </row>
        <row r="153">
          <cell r="C153" t="str">
            <v/>
          </cell>
          <cell r="E153" t="str">
            <v>Chi phí xây dựng tổng cộng</v>
          </cell>
          <cell r="F153" t="str">
            <v>GXD</v>
          </cell>
          <cell r="G153" t="str">
            <v>VNĐ</v>
          </cell>
          <cell r="H153" t="str">
            <v>GST + GXDNT</v>
          </cell>
        </row>
        <row r="154">
          <cell r="C154">
            <v>10</v>
          </cell>
          <cell r="D154" t="str">
            <v>AB.11413</v>
          </cell>
          <cell r="E154" t="str">
            <v>Đào móng chôn cọc bằng thủ công đất C3</v>
          </cell>
          <cell r="F154" t="str">
            <v/>
          </cell>
          <cell r="G154" t="str">
            <v>m3</v>
          </cell>
          <cell r="I154" t="str">
            <v/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/>
          </cell>
          <cell r="E155" t="str">
            <v>Nhân công bậc: 3/7</v>
          </cell>
          <cell r="F155" t="str">
            <v>NC</v>
          </cell>
          <cell r="G155" t="str">
            <v>Công</v>
          </cell>
          <cell r="H155">
            <v>1.9</v>
          </cell>
          <cell r="I155">
            <v>215349.23076923078</v>
          </cell>
          <cell r="J155" t="str">
            <v/>
          </cell>
          <cell r="K155">
            <v>409163.53846153844</v>
          </cell>
          <cell r="L155" t="str">
            <v/>
          </cell>
        </row>
        <row r="156">
          <cell r="C156" t="str">
            <v/>
          </cell>
          <cell r="E156" t="str">
            <v>Chi phí trực tiếp khác</v>
          </cell>
          <cell r="F156" t="str">
            <v>TT</v>
          </cell>
          <cell r="G156" t="str">
            <v>VNĐ</v>
          </cell>
          <cell r="H156">
            <v>0.02</v>
          </cell>
          <cell r="I156">
            <v>0</v>
          </cell>
        </row>
        <row r="157">
          <cell r="C157" t="str">
            <v/>
          </cell>
          <cell r="E157" t="str">
            <v>Chi phí trực tiếp</v>
          </cell>
          <cell r="F157" t="str">
            <v>T</v>
          </cell>
          <cell r="G157" t="str">
            <v>VNĐ</v>
          </cell>
          <cell r="H157">
            <v>1</v>
          </cell>
          <cell r="I157">
            <v>0</v>
          </cell>
        </row>
        <row r="158">
          <cell r="C158" t="str">
            <v/>
          </cell>
          <cell r="E158" t="str">
            <v>Chi phí chung</v>
          </cell>
          <cell r="F158" t="str">
            <v>C</v>
          </cell>
          <cell r="G158" t="str">
            <v>VNĐ</v>
          </cell>
          <cell r="H158">
            <v>0.05</v>
          </cell>
          <cell r="I158">
            <v>0</v>
          </cell>
        </row>
        <row r="159">
          <cell r="C159" t="str">
            <v/>
          </cell>
          <cell r="E159" t="str">
            <v>Thu nhập chịu thuế tính trước</v>
          </cell>
          <cell r="F159" t="str">
            <v>TL</v>
          </cell>
          <cell r="G159" t="str">
            <v>VNĐ</v>
          </cell>
          <cell r="H159">
            <v>0.055</v>
          </cell>
          <cell r="I159">
            <v>0</v>
          </cell>
        </row>
        <row r="160">
          <cell r="C160" t="str">
            <v/>
          </cell>
          <cell r="E160" t="str">
            <v>Chi phí xây dựng trước thuế</v>
          </cell>
          <cell r="F160" t="str">
            <v>G</v>
          </cell>
          <cell r="G160" t="str">
            <v>VNĐ</v>
          </cell>
          <cell r="H160">
            <v>1</v>
          </cell>
          <cell r="I160">
            <v>0</v>
          </cell>
        </row>
        <row r="161">
          <cell r="C161" t="str">
            <v/>
          </cell>
          <cell r="E161" t="str">
            <v>Thuế giá trị gia tăng </v>
          </cell>
          <cell r="F161" t="str">
            <v>VAT</v>
          </cell>
          <cell r="G161" t="str">
            <v>VNĐ</v>
          </cell>
          <cell r="H161">
            <v>0.1</v>
          </cell>
          <cell r="I161">
            <v>0</v>
          </cell>
        </row>
        <row r="162">
          <cell r="C162" t="str">
            <v/>
          </cell>
          <cell r="E162" t="str">
            <v>Chi phí xây dựng sau thuế</v>
          </cell>
          <cell r="F162" t="str">
            <v>GST</v>
          </cell>
          <cell r="G162" t="str">
            <v>VNĐ</v>
          </cell>
          <cell r="H162">
            <v>1</v>
          </cell>
          <cell r="I162">
            <v>0</v>
          </cell>
        </row>
        <row r="163">
          <cell r="C163" t="str">
            <v/>
          </cell>
          <cell r="E163" t="str">
            <v>Chi phí lán trại tại hiện trường</v>
          </cell>
          <cell r="F163" t="str">
            <v>GXDNT</v>
          </cell>
          <cell r="G163" t="str">
            <v>VNĐ</v>
          </cell>
          <cell r="H163">
            <v>0.01</v>
          </cell>
          <cell r="I163">
            <v>0</v>
          </cell>
        </row>
        <row r="164">
          <cell r="C164" t="str">
            <v/>
          </cell>
          <cell r="E164" t="str">
            <v>Chi phí xây dựng tổng cộng</v>
          </cell>
          <cell r="F164" t="str">
            <v>GXD</v>
          </cell>
          <cell r="G164" t="str">
            <v>VNĐ</v>
          </cell>
          <cell r="H164" t="str">
            <v>GST + GXDNT</v>
          </cell>
        </row>
        <row r="165">
          <cell r="C165">
            <v>11</v>
          </cell>
          <cell r="D165" t="str">
            <v>AG.42111</v>
          </cell>
          <cell r="E165" t="str">
            <v>Lắp dựng cọc mốc bằng thủ công</v>
          </cell>
          <cell r="F165" t="str">
            <v/>
          </cell>
          <cell r="G165" t="str">
            <v>Cọc</v>
          </cell>
          <cell r="I165" t="str">
            <v/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/>
          </cell>
          <cell r="E166" t="str">
            <v>Nhân công bậc: 4/7</v>
          </cell>
          <cell r="F166" t="str">
            <v>NC</v>
          </cell>
          <cell r="G166" t="str">
            <v>Công</v>
          </cell>
          <cell r="H166">
            <v>0.15</v>
          </cell>
          <cell r="I166">
            <v>250241.53846153847</v>
          </cell>
          <cell r="J166" t="str">
            <v/>
          </cell>
          <cell r="K166">
            <v>37536.230769230766</v>
          </cell>
          <cell r="L166" t="str">
            <v/>
          </cell>
        </row>
        <row r="167">
          <cell r="C167" t="str">
            <v/>
          </cell>
          <cell r="E167" t="str">
            <v>Chi phí trực tiếp khác</v>
          </cell>
          <cell r="F167" t="str">
            <v>TT</v>
          </cell>
          <cell r="G167" t="str">
            <v>VNĐ</v>
          </cell>
          <cell r="H167">
            <v>0.02</v>
          </cell>
          <cell r="I167">
            <v>0</v>
          </cell>
        </row>
        <row r="168">
          <cell r="C168" t="str">
            <v/>
          </cell>
          <cell r="E168" t="str">
            <v>Chi phí trực tiếp</v>
          </cell>
          <cell r="F168" t="str">
            <v>T</v>
          </cell>
          <cell r="G168" t="str">
            <v>VNĐ</v>
          </cell>
          <cell r="H168">
            <v>1</v>
          </cell>
          <cell r="I168">
            <v>0</v>
          </cell>
        </row>
        <row r="169">
          <cell r="C169" t="str">
            <v/>
          </cell>
          <cell r="E169" t="str">
            <v>Chi phí chung</v>
          </cell>
          <cell r="F169" t="str">
            <v>C</v>
          </cell>
          <cell r="G169" t="str">
            <v>VNĐ</v>
          </cell>
          <cell r="H169">
            <v>0.05</v>
          </cell>
          <cell r="I169">
            <v>0</v>
          </cell>
        </row>
        <row r="170">
          <cell r="C170" t="str">
            <v/>
          </cell>
          <cell r="E170" t="str">
            <v>Thu nhập chịu thuế tính trước</v>
          </cell>
          <cell r="F170" t="str">
            <v>TL</v>
          </cell>
          <cell r="G170" t="str">
            <v>VNĐ</v>
          </cell>
          <cell r="H170">
            <v>0.055</v>
          </cell>
          <cell r="I170">
            <v>0</v>
          </cell>
        </row>
        <row r="171">
          <cell r="C171" t="str">
            <v/>
          </cell>
          <cell r="E171" t="str">
            <v>Chi phí xây dựng trước thuế</v>
          </cell>
          <cell r="F171" t="str">
            <v>G</v>
          </cell>
          <cell r="G171" t="str">
            <v>VNĐ</v>
          </cell>
          <cell r="H171">
            <v>1</v>
          </cell>
          <cell r="I171">
            <v>0</v>
          </cell>
        </row>
        <row r="172">
          <cell r="C172" t="str">
            <v/>
          </cell>
          <cell r="E172" t="str">
            <v>Thuế giá trị gia tăng </v>
          </cell>
          <cell r="F172" t="str">
            <v>VAT</v>
          </cell>
          <cell r="G172" t="str">
            <v>VNĐ</v>
          </cell>
          <cell r="H172">
            <v>0.1</v>
          </cell>
          <cell r="I172">
            <v>0</v>
          </cell>
        </row>
        <row r="173">
          <cell r="C173" t="str">
            <v/>
          </cell>
          <cell r="E173" t="str">
            <v>Chi phí xây dựng sau thuế</v>
          </cell>
          <cell r="F173" t="str">
            <v>GST</v>
          </cell>
          <cell r="G173" t="str">
            <v>VNĐ</v>
          </cell>
          <cell r="H173">
            <v>1</v>
          </cell>
          <cell r="I173">
            <v>0</v>
          </cell>
        </row>
        <row r="174">
          <cell r="C174" t="str">
            <v/>
          </cell>
          <cell r="E174" t="str">
            <v>Chi phí lán trại tại hiện trường</v>
          </cell>
          <cell r="F174" t="str">
            <v>GXDNT</v>
          </cell>
          <cell r="G174" t="str">
            <v>VNĐ</v>
          </cell>
          <cell r="H174">
            <v>0.01</v>
          </cell>
          <cell r="I174">
            <v>0</v>
          </cell>
        </row>
        <row r="175">
          <cell r="C175" t="str">
            <v/>
          </cell>
          <cell r="E175" t="str">
            <v>Chi phí xây dựng tổng cộng</v>
          </cell>
          <cell r="F175" t="str">
            <v>GXD</v>
          </cell>
          <cell r="G175" t="str">
            <v>VNĐ</v>
          </cell>
          <cell r="H175" t="str">
            <v>GST + GXDNT</v>
          </cell>
        </row>
        <row r="176">
          <cell r="C176">
            <v>12</v>
          </cell>
          <cell r="D176" t="str">
            <v>AG.42111</v>
          </cell>
          <cell r="E176" t="str">
            <v>Lắp dựng bệ móng bằng thủ công</v>
          </cell>
          <cell r="F176" t="str">
            <v/>
          </cell>
          <cell r="G176" t="str">
            <v>Cái</v>
          </cell>
          <cell r="I176" t="str">
            <v/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/>
          </cell>
          <cell r="E177" t="str">
            <v>Nhân công bậc: 4/7</v>
          </cell>
          <cell r="F177" t="str">
            <v>NC</v>
          </cell>
          <cell r="G177" t="str">
            <v>Công</v>
          </cell>
          <cell r="H177">
            <v>0.075</v>
          </cell>
          <cell r="I177">
            <v>250241.53846153847</v>
          </cell>
          <cell r="J177" t="str">
            <v/>
          </cell>
          <cell r="K177">
            <v>18768.115384615383</v>
          </cell>
          <cell r="L177" t="str">
            <v/>
          </cell>
        </row>
        <row r="178">
          <cell r="C178" t="str">
            <v/>
          </cell>
          <cell r="E178" t="str">
            <v>Chi phí trực tiếp khác</v>
          </cell>
          <cell r="F178" t="str">
            <v>TT</v>
          </cell>
          <cell r="G178" t="str">
            <v>VNĐ</v>
          </cell>
          <cell r="H178">
            <v>0.02</v>
          </cell>
          <cell r="I178">
            <v>0</v>
          </cell>
        </row>
        <row r="179">
          <cell r="C179" t="str">
            <v/>
          </cell>
          <cell r="E179" t="str">
            <v>Chi phí trực tiếp</v>
          </cell>
          <cell r="F179" t="str">
            <v>T</v>
          </cell>
          <cell r="G179" t="str">
            <v>VNĐ</v>
          </cell>
          <cell r="H179">
            <v>1</v>
          </cell>
          <cell r="I179">
            <v>0</v>
          </cell>
        </row>
        <row r="180">
          <cell r="C180" t="str">
            <v/>
          </cell>
          <cell r="E180" t="str">
            <v>Chi phí chung</v>
          </cell>
          <cell r="F180" t="str">
            <v>C</v>
          </cell>
          <cell r="G180" t="str">
            <v>VNĐ</v>
          </cell>
          <cell r="H180">
            <v>0.05</v>
          </cell>
          <cell r="I180">
            <v>0</v>
          </cell>
        </row>
        <row r="181">
          <cell r="C181" t="str">
            <v/>
          </cell>
          <cell r="E181" t="str">
            <v>Thu nhập chịu thuế tính trước</v>
          </cell>
          <cell r="F181" t="str">
            <v>TL</v>
          </cell>
          <cell r="G181" t="str">
            <v>VNĐ</v>
          </cell>
          <cell r="H181">
            <v>0.055</v>
          </cell>
          <cell r="I181">
            <v>0</v>
          </cell>
        </row>
        <row r="182">
          <cell r="C182" t="str">
            <v/>
          </cell>
          <cell r="E182" t="str">
            <v>Chi phí xây dựng trước thuế</v>
          </cell>
          <cell r="F182" t="str">
            <v>G</v>
          </cell>
          <cell r="G182" t="str">
            <v>VNĐ</v>
          </cell>
          <cell r="H182">
            <v>1</v>
          </cell>
          <cell r="I182">
            <v>0</v>
          </cell>
        </row>
        <row r="183">
          <cell r="C183" t="str">
            <v/>
          </cell>
          <cell r="E183" t="str">
            <v>Thuế giá trị gia tăng </v>
          </cell>
          <cell r="F183" t="str">
            <v>VAT</v>
          </cell>
          <cell r="G183" t="str">
            <v>VNĐ</v>
          </cell>
          <cell r="H183">
            <v>0.1</v>
          </cell>
          <cell r="I183">
            <v>0</v>
          </cell>
        </row>
        <row r="184">
          <cell r="C184" t="str">
            <v/>
          </cell>
          <cell r="E184" t="str">
            <v>Chi phí xây dựng sau thuế</v>
          </cell>
          <cell r="F184" t="str">
            <v>GST</v>
          </cell>
          <cell r="G184" t="str">
            <v>VNĐ</v>
          </cell>
          <cell r="H184">
            <v>1</v>
          </cell>
          <cell r="I184">
            <v>0</v>
          </cell>
        </row>
        <row r="185">
          <cell r="C185" t="str">
            <v/>
          </cell>
          <cell r="E185" t="str">
            <v>Chi phí lán trại tại hiện trường</v>
          </cell>
          <cell r="F185" t="str">
            <v>GXDNT</v>
          </cell>
          <cell r="G185" t="str">
            <v>VNĐ</v>
          </cell>
          <cell r="H185">
            <v>0.01</v>
          </cell>
          <cell r="I185">
            <v>0</v>
          </cell>
        </row>
        <row r="186">
          <cell r="C186" t="str">
            <v/>
          </cell>
          <cell r="E186" t="str">
            <v>Chi phí xây dựng tổng cộng</v>
          </cell>
          <cell r="F186" t="str">
            <v>GXD</v>
          </cell>
          <cell r="G186" t="str">
            <v>VNĐ</v>
          </cell>
          <cell r="H186" t="str">
            <v>GST + GXDNT</v>
          </cell>
        </row>
        <row r="187">
          <cell r="C187">
            <v>13</v>
          </cell>
          <cell r="D187" t="str">
            <v>AB.13112</v>
          </cell>
          <cell r="E187" t="str">
            <v>Đắp đất hoàn trả hố móng</v>
          </cell>
          <cell r="F187" t="str">
            <v/>
          </cell>
          <cell r="G187" t="str">
            <v>m3</v>
          </cell>
          <cell r="I187" t="str">
            <v/>
          </cell>
          <cell r="J187">
            <v>0</v>
          </cell>
          <cell r="K187">
            <v>0</v>
          </cell>
          <cell r="L187">
            <v>0</v>
          </cell>
        </row>
        <row r="188">
          <cell r="C188" t="str">
            <v/>
          </cell>
          <cell r="E188" t="str">
            <v>Nhân công bậc: 4/7</v>
          </cell>
          <cell r="F188" t="str">
            <v>NC</v>
          </cell>
          <cell r="G188" t="str">
            <v>Công</v>
          </cell>
          <cell r="H188">
            <v>0.67</v>
          </cell>
          <cell r="I188">
            <v>250241.53846153847</v>
          </cell>
          <cell r="J188" t="str">
            <v/>
          </cell>
          <cell r="K188">
            <v>167661.8307692308</v>
          </cell>
          <cell r="L188" t="str">
            <v/>
          </cell>
        </row>
        <row r="189">
          <cell r="C189" t="str">
            <v/>
          </cell>
          <cell r="E189" t="str">
            <v>Chi phí trực tiếp khác</v>
          </cell>
          <cell r="F189" t="str">
            <v>TT</v>
          </cell>
          <cell r="G189" t="str">
            <v>VNĐ</v>
          </cell>
          <cell r="H189">
            <v>0.02</v>
          </cell>
          <cell r="I189">
            <v>0</v>
          </cell>
        </row>
        <row r="190">
          <cell r="C190" t="str">
            <v/>
          </cell>
          <cell r="E190" t="str">
            <v>Chi phí trực tiếp</v>
          </cell>
          <cell r="F190" t="str">
            <v>T</v>
          </cell>
          <cell r="G190" t="str">
            <v>VNĐ</v>
          </cell>
          <cell r="H190">
            <v>1</v>
          </cell>
          <cell r="I190">
            <v>0</v>
          </cell>
        </row>
        <row r="191">
          <cell r="C191" t="str">
            <v/>
          </cell>
          <cell r="E191" t="str">
            <v>Chi phí chung</v>
          </cell>
          <cell r="F191" t="str">
            <v>C</v>
          </cell>
          <cell r="G191" t="str">
            <v>VNĐ</v>
          </cell>
          <cell r="H191">
            <v>0.05</v>
          </cell>
          <cell r="I191">
            <v>0</v>
          </cell>
        </row>
        <row r="192">
          <cell r="C192" t="str">
            <v/>
          </cell>
          <cell r="E192" t="str">
            <v>Thu nhập chịu thuế tính trước</v>
          </cell>
          <cell r="F192" t="str">
            <v>TL</v>
          </cell>
          <cell r="G192" t="str">
            <v>VNĐ</v>
          </cell>
          <cell r="H192">
            <v>0.055</v>
          </cell>
          <cell r="I192">
            <v>0</v>
          </cell>
        </row>
        <row r="193">
          <cell r="C193" t="str">
            <v/>
          </cell>
          <cell r="E193" t="str">
            <v>Chi phí xây dựng trước thuế</v>
          </cell>
          <cell r="F193" t="str">
            <v>G</v>
          </cell>
          <cell r="G193" t="str">
            <v>VNĐ</v>
          </cell>
          <cell r="H193">
            <v>1</v>
          </cell>
          <cell r="I193">
            <v>0</v>
          </cell>
        </row>
        <row r="194">
          <cell r="C194" t="str">
            <v/>
          </cell>
          <cell r="E194" t="str">
            <v>Thuế giá trị gia tăng </v>
          </cell>
          <cell r="F194" t="str">
            <v>VAT</v>
          </cell>
          <cell r="G194" t="str">
            <v>VNĐ</v>
          </cell>
          <cell r="H194">
            <v>0.1</v>
          </cell>
          <cell r="I194">
            <v>0</v>
          </cell>
        </row>
        <row r="195">
          <cell r="C195" t="str">
            <v/>
          </cell>
          <cell r="E195" t="str">
            <v>Chi phí xây dựng sau thuế</v>
          </cell>
          <cell r="F195" t="str">
            <v>GST</v>
          </cell>
          <cell r="G195" t="str">
            <v>VNĐ</v>
          </cell>
          <cell r="H195">
            <v>1</v>
          </cell>
          <cell r="I195">
            <v>0</v>
          </cell>
        </row>
        <row r="196">
          <cell r="C196" t="str">
            <v/>
          </cell>
          <cell r="E196" t="str">
            <v>Chi phí lán trại tại hiện trường</v>
          </cell>
          <cell r="F196" t="str">
            <v>GXDNT</v>
          </cell>
          <cell r="G196" t="str">
            <v>VNĐ</v>
          </cell>
          <cell r="H196">
            <v>0.01</v>
          </cell>
          <cell r="I196">
            <v>0</v>
          </cell>
        </row>
        <row r="197">
          <cell r="C197" t="str">
            <v/>
          </cell>
          <cell r="E197" t="str">
            <v>Chi phí xây dựng tổng cộng</v>
          </cell>
          <cell r="F197" t="str">
            <v>GXD</v>
          </cell>
          <cell r="G197" t="str">
            <v>VNĐ</v>
          </cell>
          <cell r="H197" t="str">
            <v>GST + GXDNT</v>
          </cell>
        </row>
        <row r="198">
          <cell r="C198">
            <v>14</v>
          </cell>
          <cell r="D198" t="str">
            <v>AK.83422</v>
          </cell>
          <cell r="E198" t="str">
            <v>Sơn trắng đỏ</v>
          </cell>
          <cell r="F198" t="str">
            <v/>
          </cell>
          <cell r="G198" t="str">
            <v>m2</v>
          </cell>
          <cell r="I198" t="str">
            <v/>
          </cell>
          <cell r="J198">
            <v>0</v>
          </cell>
          <cell r="K198">
            <v>0</v>
          </cell>
          <cell r="L198">
            <v>0</v>
          </cell>
        </row>
        <row r="199">
          <cell r="C199" t="str">
            <v/>
          </cell>
          <cell r="E199" t="str">
            <v>Sơn</v>
          </cell>
          <cell r="F199" t="str">
            <v>VL</v>
          </cell>
          <cell r="G199" t="str">
            <v>Kg</v>
          </cell>
          <cell r="H199">
            <v>1.01</v>
          </cell>
          <cell r="I199">
            <v>50000</v>
          </cell>
          <cell r="J199">
            <v>50500</v>
          </cell>
          <cell r="K199" t="str">
            <v/>
          </cell>
          <cell r="L199" t="str">
            <v/>
          </cell>
        </row>
        <row r="200">
          <cell r="C200" t="str">
            <v/>
          </cell>
          <cell r="E200" t="str">
            <v>Xăng Ron 92</v>
          </cell>
          <cell r="F200" t="str">
            <v>VL</v>
          </cell>
          <cell r="G200" t="str">
            <v>Lít</v>
          </cell>
          <cell r="H200">
            <v>0.026</v>
          </cell>
          <cell r="I200">
            <v>0</v>
          </cell>
          <cell r="J200">
            <v>0</v>
          </cell>
          <cell r="K200" t="str">
            <v/>
          </cell>
          <cell r="L200" t="str">
            <v/>
          </cell>
        </row>
        <row r="201">
          <cell r="C201" t="str">
            <v/>
          </cell>
          <cell r="E201" t="str">
            <v>Nhân công bậc: 4/7</v>
          </cell>
          <cell r="F201" t="str">
            <v>NC</v>
          </cell>
          <cell r="G201" t="str">
            <v>Công</v>
          </cell>
          <cell r="H201">
            <v>0.165</v>
          </cell>
          <cell r="I201">
            <v>250241.53846153847</v>
          </cell>
          <cell r="J201" t="str">
            <v/>
          </cell>
          <cell r="K201">
            <v>41289.85384615385</v>
          </cell>
          <cell r="L201" t="str">
            <v/>
          </cell>
        </row>
        <row r="202">
          <cell r="C202" t="str">
            <v/>
          </cell>
          <cell r="E202" t="str">
            <v>Chi phí trực tiếp khác</v>
          </cell>
          <cell r="F202" t="str">
            <v>TT</v>
          </cell>
          <cell r="G202" t="str">
            <v>VNĐ</v>
          </cell>
          <cell r="H202">
            <v>0.02</v>
          </cell>
          <cell r="I202">
            <v>0</v>
          </cell>
        </row>
        <row r="203">
          <cell r="C203" t="str">
            <v/>
          </cell>
          <cell r="E203" t="str">
            <v>Chi phí trực tiếp</v>
          </cell>
          <cell r="F203" t="str">
            <v>T</v>
          </cell>
          <cell r="G203" t="str">
            <v>VNĐ</v>
          </cell>
          <cell r="H203">
            <v>1</v>
          </cell>
          <cell r="I203">
            <v>0</v>
          </cell>
        </row>
        <row r="204">
          <cell r="C204" t="str">
            <v/>
          </cell>
          <cell r="E204" t="str">
            <v>Chi phí chung</v>
          </cell>
          <cell r="F204" t="str">
            <v>C</v>
          </cell>
          <cell r="G204" t="str">
            <v>VNĐ</v>
          </cell>
          <cell r="H204">
            <v>0.05</v>
          </cell>
          <cell r="I204">
            <v>0</v>
          </cell>
        </row>
        <row r="205">
          <cell r="C205" t="str">
            <v/>
          </cell>
          <cell r="E205" t="str">
            <v>Thu nhập chịu thuế tính trước</v>
          </cell>
          <cell r="F205" t="str">
            <v>TL</v>
          </cell>
          <cell r="G205" t="str">
            <v>VNĐ</v>
          </cell>
          <cell r="H205">
            <v>0.055</v>
          </cell>
          <cell r="I205">
            <v>0</v>
          </cell>
        </row>
        <row r="206">
          <cell r="C206" t="str">
            <v/>
          </cell>
          <cell r="E206" t="str">
            <v>Chi phí xây dựng trước thuế</v>
          </cell>
          <cell r="F206" t="str">
            <v>G</v>
          </cell>
          <cell r="G206" t="str">
            <v>VNĐ</v>
          </cell>
          <cell r="H206">
            <v>1</v>
          </cell>
          <cell r="I206">
            <v>0</v>
          </cell>
        </row>
        <row r="207">
          <cell r="C207" t="str">
            <v/>
          </cell>
          <cell r="E207" t="str">
            <v>Thuế giá trị gia tăng </v>
          </cell>
          <cell r="F207" t="str">
            <v>VAT</v>
          </cell>
          <cell r="G207" t="str">
            <v>VNĐ</v>
          </cell>
          <cell r="H207">
            <v>0.1</v>
          </cell>
          <cell r="I207">
            <v>0</v>
          </cell>
        </row>
        <row r="208">
          <cell r="C208" t="str">
            <v/>
          </cell>
          <cell r="E208" t="str">
            <v>Chi phí xây dựng sau thuế</v>
          </cell>
          <cell r="F208" t="str">
            <v>GST</v>
          </cell>
          <cell r="G208" t="str">
            <v>VNĐ</v>
          </cell>
          <cell r="H208">
            <v>1</v>
          </cell>
          <cell r="I208">
            <v>0</v>
          </cell>
        </row>
        <row r="209">
          <cell r="C209" t="str">
            <v/>
          </cell>
          <cell r="E209" t="str">
            <v>Chi phí lán trại tại hiện trường</v>
          </cell>
          <cell r="F209" t="str">
            <v>GXDNT</v>
          </cell>
          <cell r="G209" t="str">
            <v>VNĐ</v>
          </cell>
          <cell r="H209">
            <v>0.01</v>
          </cell>
          <cell r="I209">
            <v>0</v>
          </cell>
        </row>
        <row r="210">
          <cell r="C210" t="str">
            <v/>
          </cell>
          <cell r="E210" t="str">
            <v>Chi phí xây dựng tổng cộng</v>
          </cell>
          <cell r="F210" t="str">
            <v>GXD</v>
          </cell>
          <cell r="G210" t="str">
            <v>VNĐ</v>
          </cell>
          <cell r="H210" t="str">
            <v>GST + GXDNT</v>
          </cell>
        </row>
        <row r="211">
          <cell r="C211">
            <v>15</v>
          </cell>
          <cell r="D211" t="str">
            <v>PT</v>
          </cell>
          <cell r="E211" t="str">
            <v>Kẽ chữ GPMB bằng sơn đỏ</v>
          </cell>
          <cell r="F211" t="str">
            <v/>
          </cell>
          <cell r="G211" t="str">
            <v>Cọc</v>
          </cell>
          <cell r="I211" t="str">
            <v/>
          </cell>
          <cell r="J211">
            <v>0</v>
          </cell>
          <cell r="K211">
            <v>0</v>
          </cell>
          <cell r="L211">
            <v>0</v>
          </cell>
        </row>
        <row r="212">
          <cell r="C212" t="str">
            <v/>
          </cell>
          <cell r="E212" t="str">
            <v>Sơn</v>
          </cell>
          <cell r="F212" t="str">
            <v>VL</v>
          </cell>
          <cell r="G212" t="str">
            <v>Kg</v>
          </cell>
          <cell r="H212">
            <v>0.008000000000000002</v>
          </cell>
          <cell r="I212">
            <v>50000</v>
          </cell>
          <cell r="J212">
            <v>400.0000000000001</v>
          </cell>
          <cell r="K212" t="str">
            <v/>
          </cell>
          <cell r="L212" t="str">
            <v/>
          </cell>
        </row>
        <row r="213">
          <cell r="C213" t="str">
            <v/>
          </cell>
          <cell r="E213" t="str">
            <v>Xăng Ron 92</v>
          </cell>
          <cell r="F213" t="str">
            <v>VL</v>
          </cell>
          <cell r="G213" t="str">
            <v>Lít</v>
          </cell>
          <cell r="H213">
            <v>0.004000000000000001</v>
          </cell>
          <cell r="I213">
            <v>0</v>
          </cell>
          <cell r="J213">
            <v>0</v>
          </cell>
          <cell r="K213" t="str">
            <v/>
          </cell>
          <cell r="L213" t="str">
            <v/>
          </cell>
        </row>
        <row r="214">
          <cell r="C214" t="str">
            <v/>
          </cell>
          <cell r="E214" t="str">
            <v>Vật liệu khác</v>
          </cell>
          <cell r="F214" t="str">
            <v>VL</v>
          </cell>
          <cell r="G214" t="str">
            <v>%</v>
          </cell>
          <cell r="H214">
            <v>10</v>
          </cell>
          <cell r="I214">
            <v>0</v>
          </cell>
          <cell r="J214">
            <v>0</v>
          </cell>
          <cell r="K214" t="str">
            <v/>
          </cell>
          <cell r="L214" t="str">
            <v/>
          </cell>
        </row>
        <row r="215">
          <cell r="C215" t="str">
            <v/>
          </cell>
          <cell r="E215" t="str">
            <v>Nhân công bậc: 4/7</v>
          </cell>
          <cell r="F215" t="str">
            <v>NC</v>
          </cell>
          <cell r="G215" t="str">
            <v>Công</v>
          </cell>
          <cell r="H215">
            <v>0.014000000000000002</v>
          </cell>
          <cell r="I215">
            <v>250241.53846153847</v>
          </cell>
          <cell r="J215" t="str">
            <v/>
          </cell>
          <cell r="K215">
            <v>3503.381538461539</v>
          </cell>
          <cell r="L215" t="str">
            <v/>
          </cell>
        </row>
        <row r="216">
          <cell r="C216" t="str">
            <v/>
          </cell>
          <cell r="E216" t="str">
            <v>Chi phí trực tiếp khác</v>
          </cell>
          <cell r="F216" t="str">
            <v>TT</v>
          </cell>
          <cell r="G216" t="str">
            <v>VNĐ</v>
          </cell>
          <cell r="H216">
            <v>0.02</v>
          </cell>
          <cell r="I216">
            <v>0</v>
          </cell>
        </row>
        <row r="217">
          <cell r="C217" t="str">
            <v/>
          </cell>
          <cell r="E217" t="str">
            <v>Chi phí trực tiếp</v>
          </cell>
          <cell r="F217" t="str">
            <v>T</v>
          </cell>
          <cell r="G217" t="str">
            <v>VNĐ</v>
          </cell>
          <cell r="H217">
            <v>1</v>
          </cell>
          <cell r="I217">
            <v>0</v>
          </cell>
        </row>
        <row r="218">
          <cell r="C218" t="str">
            <v/>
          </cell>
          <cell r="E218" t="str">
            <v>Chi phí chung</v>
          </cell>
          <cell r="F218" t="str">
            <v>C</v>
          </cell>
          <cell r="G218" t="str">
            <v>VNĐ</v>
          </cell>
          <cell r="H218">
            <v>0.05</v>
          </cell>
          <cell r="I218">
            <v>0</v>
          </cell>
        </row>
        <row r="219">
          <cell r="C219" t="str">
            <v/>
          </cell>
          <cell r="E219" t="str">
            <v>Thu nhập chịu thuế tính trước</v>
          </cell>
          <cell r="F219" t="str">
            <v>TL</v>
          </cell>
          <cell r="G219" t="str">
            <v>VNĐ</v>
          </cell>
          <cell r="H219">
            <v>0.055</v>
          </cell>
          <cell r="I219">
            <v>0</v>
          </cell>
        </row>
        <row r="220">
          <cell r="C220" t="str">
            <v/>
          </cell>
          <cell r="E220" t="str">
            <v>Chi phí xây dựng trước thuế</v>
          </cell>
          <cell r="F220" t="str">
            <v>G</v>
          </cell>
          <cell r="G220" t="str">
            <v>VNĐ</v>
          </cell>
          <cell r="H220">
            <v>1</v>
          </cell>
          <cell r="I220">
            <v>0</v>
          </cell>
        </row>
        <row r="221">
          <cell r="C221" t="str">
            <v/>
          </cell>
          <cell r="E221" t="str">
            <v>Thuế giá trị gia tăng </v>
          </cell>
          <cell r="F221" t="str">
            <v>VAT</v>
          </cell>
          <cell r="G221" t="str">
            <v>VNĐ</v>
          </cell>
          <cell r="H221">
            <v>0.1</v>
          </cell>
          <cell r="I221">
            <v>0</v>
          </cell>
        </row>
        <row r="222">
          <cell r="C222" t="str">
            <v/>
          </cell>
          <cell r="E222" t="str">
            <v>Chi phí xây dựng sau thuế</v>
          </cell>
          <cell r="F222" t="str">
            <v>GST</v>
          </cell>
          <cell r="G222" t="str">
            <v>VNĐ</v>
          </cell>
          <cell r="H222">
            <v>1</v>
          </cell>
          <cell r="I222">
            <v>0</v>
          </cell>
        </row>
        <row r="223">
          <cell r="C223" t="str">
            <v/>
          </cell>
          <cell r="E223" t="str">
            <v>Chi phí lán trại tại hiện trường</v>
          </cell>
          <cell r="F223" t="str">
            <v>GXDNT</v>
          </cell>
          <cell r="G223" t="str">
            <v>VNĐ</v>
          </cell>
          <cell r="H223">
            <v>0.01</v>
          </cell>
          <cell r="I223">
            <v>0</v>
          </cell>
        </row>
        <row r="224">
          <cell r="C224" t="str">
            <v/>
          </cell>
          <cell r="E224" t="str">
            <v>Chi phí xây dựng tổng cộng</v>
          </cell>
          <cell r="F224" t="str">
            <v>GXD</v>
          </cell>
          <cell r="G224" t="str">
            <v>VNĐ</v>
          </cell>
          <cell r="H224" t="str">
            <v>GST + GXDNT</v>
          </cell>
        </row>
        <row r="225">
          <cell r="C225">
            <v>16</v>
          </cell>
          <cell r="D225" t="str">
            <v>AK.81120</v>
          </cell>
          <cell r="E225" t="str">
            <v>Quét vôi thân cọc, quét 3 nước trắng</v>
          </cell>
          <cell r="F225" t="str">
            <v/>
          </cell>
          <cell r="G225" t="str">
            <v>m2</v>
          </cell>
          <cell r="I225" t="str">
            <v/>
          </cell>
          <cell r="J225">
            <v>0</v>
          </cell>
          <cell r="K225">
            <v>0</v>
          </cell>
          <cell r="L225">
            <v>0</v>
          </cell>
        </row>
        <row r="226">
          <cell r="C226" t="str">
            <v/>
          </cell>
          <cell r="E226" t="str">
            <v>Vôi cục</v>
          </cell>
          <cell r="F226" t="str">
            <v>VL</v>
          </cell>
          <cell r="G226" t="str">
            <v>Kg</v>
          </cell>
          <cell r="H226">
            <v>0.389</v>
          </cell>
          <cell r="I226">
            <v>1000</v>
          </cell>
          <cell r="J226">
            <v>389</v>
          </cell>
          <cell r="K226" t="str">
            <v/>
          </cell>
          <cell r="L226" t="str">
            <v/>
          </cell>
        </row>
        <row r="227">
          <cell r="C227" t="str">
            <v/>
          </cell>
          <cell r="E227" t="str">
            <v>Phèn chua</v>
          </cell>
          <cell r="F227" t="str">
            <v>VL</v>
          </cell>
          <cell r="G227" t="str">
            <v>Kg</v>
          </cell>
          <cell r="H227">
            <v>0.066</v>
          </cell>
          <cell r="I227">
            <v>16000</v>
          </cell>
          <cell r="J227">
            <v>1056</v>
          </cell>
          <cell r="K227" t="str">
            <v/>
          </cell>
          <cell r="L227" t="str">
            <v/>
          </cell>
        </row>
        <row r="228">
          <cell r="C228" t="str">
            <v/>
          </cell>
          <cell r="E228" t="str">
            <v>Vật liệu khác</v>
          </cell>
          <cell r="F228" t="str">
            <v>VL</v>
          </cell>
          <cell r="G228" t="str">
            <v>%</v>
          </cell>
          <cell r="H228">
            <v>5</v>
          </cell>
          <cell r="I228">
            <v>0</v>
          </cell>
          <cell r="J228">
            <v>0</v>
          </cell>
          <cell r="K228" t="str">
            <v/>
          </cell>
          <cell r="L228" t="str">
            <v/>
          </cell>
        </row>
        <row r="229">
          <cell r="C229" t="str">
            <v/>
          </cell>
          <cell r="E229" t="str">
            <v>Nhân công bậc: 4/7</v>
          </cell>
          <cell r="F229" t="str">
            <v>NC</v>
          </cell>
          <cell r="G229" t="str">
            <v>Công</v>
          </cell>
          <cell r="H229">
            <v>0.066</v>
          </cell>
          <cell r="I229">
            <v>250241.53846153847</v>
          </cell>
          <cell r="J229" t="str">
            <v/>
          </cell>
          <cell r="K229">
            <v>16515.94153846154</v>
          </cell>
          <cell r="L229" t="str">
            <v/>
          </cell>
        </row>
        <row r="230">
          <cell r="C230" t="str">
            <v/>
          </cell>
          <cell r="E230" t="str">
            <v>Chi phí trực tiếp khác</v>
          </cell>
          <cell r="F230" t="str">
            <v>TT</v>
          </cell>
          <cell r="G230" t="str">
            <v>VNĐ</v>
          </cell>
          <cell r="H230">
            <v>0.02</v>
          </cell>
          <cell r="I230">
            <v>0</v>
          </cell>
        </row>
        <row r="231">
          <cell r="C231" t="str">
            <v/>
          </cell>
          <cell r="E231" t="str">
            <v>Chi phí trực tiếp</v>
          </cell>
          <cell r="F231" t="str">
            <v>T</v>
          </cell>
          <cell r="G231" t="str">
            <v>VNĐ</v>
          </cell>
          <cell r="H231">
            <v>1</v>
          </cell>
          <cell r="I231">
            <v>0</v>
          </cell>
        </row>
        <row r="232">
          <cell r="C232" t="str">
            <v/>
          </cell>
          <cell r="E232" t="str">
            <v>Chi phí chung</v>
          </cell>
          <cell r="F232" t="str">
            <v>C</v>
          </cell>
          <cell r="G232" t="str">
            <v>VNĐ</v>
          </cell>
          <cell r="H232">
            <v>0.05</v>
          </cell>
          <cell r="I232">
            <v>0</v>
          </cell>
        </row>
        <row r="233">
          <cell r="C233" t="str">
            <v/>
          </cell>
          <cell r="E233" t="str">
            <v>Thu nhập chịu thuế tính trước</v>
          </cell>
          <cell r="F233" t="str">
            <v>TL</v>
          </cell>
          <cell r="G233" t="str">
            <v>VNĐ</v>
          </cell>
          <cell r="H233">
            <v>0.055</v>
          </cell>
          <cell r="I233">
            <v>0</v>
          </cell>
        </row>
        <row r="234">
          <cell r="C234" t="str">
            <v/>
          </cell>
          <cell r="E234" t="str">
            <v>Chi phí xây dựng trước thuế</v>
          </cell>
          <cell r="F234" t="str">
            <v>G</v>
          </cell>
          <cell r="G234" t="str">
            <v>VNĐ</v>
          </cell>
          <cell r="H234">
            <v>1</v>
          </cell>
          <cell r="I234">
            <v>0</v>
          </cell>
        </row>
        <row r="235">
          <cell r="C235" t="str">
            <v/>
          </cell>
          <cell r="E235" t="str">
            <v>Thuế giá trị gia tăng </v>
          </cell>
          <cell r="F235" t="str">
            <v>VAT</v>
          </cell>
          <cell r="G235" t="str">
            <v>VNĐ</v>
          </cell>
          <cell r="H235">
            <v>0.1</v>
          </cell>
          <cell r="I235">
            <v>0</v>
          </cell>
        </row>
        <row r="236">
          <cell r="C236" t="str">
            <v/>
          </cell>
          <cell r="E236" t="str">
            <v>Chi phí xây dựng sau thuế</v>
          </cell>
          <cell r="F236" t="str">
            <v>GST</v>
          </cell>
          <cell r="G236" t="str">
            <v>VNĐ</v>
          </cell>
          <cell r="H236">
            <v>1</v>
          </cell>
          <cell r="I236">
            <v>0</v>
          </cell>
        </row>
        <row r="237">
          <cell r="C237" t="str">
            <v/>
          </cell>
          <cell r="E237" t="str">
            <v>Chi phí lán trại tại hiện trường</v>
          </cell>
          <cell r="F237" t="str">
            <v>GXDNT</v>
          </cell>
          <cell r="G237" t="str">
            <v>VNĐ</v>
          </cell>
          <cell r="H237">
            <v>0.01</v>
          </cell>
          <cell r="I237">
            <v>0</v>
          </cell>
        </row>
        <row r="238">
          <cell r="C238" t="str">
            <v/>
          </cell>
          <cell r="E238" t="str">
            <v>Chi phí xây dựng tổng cộng</v>
          </cell>
          <cell r="F238" t="str">
            <v>GXD</v>
          </cell>
          <cell r="G238" t="str">
            <v>VNĐ</v>
          </cell>
          <cell r="H238" t="str">
            <v>GST + GXDNT</v>
          </cell>
        </row>
        <row r="239">
          <cell r="C239">
            <v>17</v>
          </cell>
          <cell r="D239" t="str">
            <v>AK.84321</v>
          </cell>
          <cell r="E239" t="str">
            <v>Sơn cọc</v>
          </cell>
          <cell r="F239" t="str">
            <v/>
          </cell>
          <cell r="G239" t="str">
            <v>m2</v>
          </cell>
          <cell r="I239" t="str">
            <v/>
          </cell>
          <cell r="J239">
            <v>0</v>
          </cell>
          <cell r="K239">
            <v>0</v>
          </cell>
          <cell r="L239">
            <v>0</v>
          </cell>
        </row>
        <row r="240">
          <cell r="C240" t="str">
            <v/>
          </cell>
          <cell r="E240" t="str">
            <v>Sơn lót JoTon</v>
          </cell>
          <cell r="F240" t="str">
            <v>VL</v>
          </cell>
          <cell r="G240" t="str">
            <v>Kg</v>
          </cell>
          <cell r="H240">
            <v>0.159</v>
          </cell>
          <cell r="I240">
            <v>46457</v>
          </cell>
          <cell r="J240">
            <v>7386.6630000000005</v>
          </cell>
          <cell r="K240" t="str">
            <v/>
          </cell>
          <cell r="L240" t="str">
            <v/>
          </cell>
        </row>
        <row r="241">
          <cell r="C241" t="str">
            <v/>
          </cell>
          <cell r="E241" t="str">
            <v>Sơn màu JoTon</v>
          </cell>
          <cell r="F241" t="str">
            <v>VL</v>
          </cell>
          <cell r="G241" t="str">
            <v>Kg</v>
          </cell>
          <cell r="H241">
            <v>0.143</v>
          </cell>
          <cell r="I241">
            <v>166000</v>
          </cell>
          <cell r="J241">
            <v>23737.999999999996</v>
          </cell>
          <cell r="K241" t="str">
            <v/>
          </cell>
          <cell r="L241" t="str">
            <v/>
          </cell>
        </row>
        <row r="242">
          <cell r="C242" t="str">
            <v/>
          </cell>
          <cell r="E242" t="str">
            <v>Vật liệu khác</v>
          </cell>
          <cell r="F242" t="str">
            <v>VL</v>
          </cell>
          <cell r="G242" t="str">
            <v>%</v>
          </cell>
          <cell r="H242">
            <v>1</v>
          </cell>
          <cell r="I242">
            <v>0</v>
          </cell>
          <cell r="J242">
            <v>0</v>
          </cell>
          <cell r="K242" t="str">
            <v/>
          </cell>
          <cell r="L242" t="str">
            <v/>
          </cell>
        </row>
        <row r="243">
          <cell r="C243" t="str">
            <v/>
          </cell>
          <cell r="E243" t="str">
            <v>Nhân công bậc: 4/7</v>
          </cell>
          <cell r="F243" t="str">
            <v>NC</v>
          </cell>
          <cell r="G243" t="str">
            <v>Công</v>
          </cell>
          <cell r="H243">
            <v>0.046</v>
          </cell>
          <cell r="I243">
            <v>250241.53846153847</v>
          </cell>
          <cell r="J243" t="str">
            <v/>
          </cell>
          <cell r="K243">
            <v>11511.110769230769</v>
          </cell>
          <cell r="L243" t="str">
            <v/>
          </cell>
        </row>
        <row r="244">
          <cell r="C244" t="str">
            <v/>
          </cell>
          <cell r="E244" t="str">
            <v>Chi phí trực tiếp khác</v>
          </cell>
          <cell r="F244" t="str">
            <v>TT</v>
          </cell>
          <cell r="G244" t="str">
            <v>VNĐ</v>
          </cell>
          <cell r="H244">
            <v>0.02</v>
          </cell>
          <cell r="I244">
            <v>0</v>
          </cell>
        </row>
        <row r="245">
          <cell r="C245" t="str">
            <v/>
          </cell>
          <cell r="E245" t="str">
            <v>Chi phí trực tiếp</v>
          </cell>
          <cell r="F245" t="str">
            <v>T</v>
          </cell>
          <cell r="G245" t="str">
            <v>VNĐ</v>
          </cell>
          <cell r="H245">
            <v>1</v>
          </cell>
          <cell r="I245">
            <v>0</v>
          </cell>
        </row>
        <row r="246">
          <cell r="C246" t="str">
            <v/>
          </cell>
          <cell r="E246" t="str">
            <v>Chi phí chung</v>
          </cell>
          <cell r="F246" t="str">
            <v>C</v>
          </cell>
          <cell r="G246" t="str">
            <v>VNĐ</v>
          </cell>
          <cell r="H246">
            <v>0.05</v>
          </cell>
          <cell r="I246">
            <v>0</v>
          </cell>
        </row>
        <row r="247">
          <cell r="C247" t="str">
            <v/>
          </cell>
          <cell r="E247" t="str">
            <v>Thu nhập chịu thuế tính trước</v>
          </cell>
          <cell r="F247" t="str">
            <v>TL</v>
          </cell>
          <cell r="G247" t="str">
            <v>VNĐ</v>
          </cell>
          <cell r="H247">
            <v>0.055</v>
          </cell>
          <cell r="I247">
            <v>0</v>
          </cell>
        </row>
        <row r="248">
          <cell r="C248" t="str">
            <v/>
          </cell>
          <cell r="E248" t="str">
            <v>Chi phí xây dựng trước thuế</v>
          </cell>
          <cell r="F248" t="str">
            <v>G</v>
          </cell>
          <cell r="G248" t="str">
            <v>VNĐ</v>
          </cell>
          <cell r="H248">
            <v>1</v>
          </cell>
          <cell r="I248">
            <v>0</v>
          </cell>
        </row>
        <row r="249">
          <cell r="C249" t="str">
            <v/>
          </cell>
          <cell r="E249" t="str">
            <v>Thuế giá trị gia tăng </v>
          </cell>
          <cell r="F249" t="str">
            <v>VAT</v>
          </cell>
          <cell r="G249" t="str">
            <v>VNĐ</v>
          </cell>
          <cell r="H249">
            <v>0.1</v>
          </cell>
          <cell r="I249">
            <v>0</v>
          </cell>
        </row>
        <row r="250">
          <cell r="C250" t="str">
            <v/>
          </cell>
          <cell r="E250" t="str">
            <v>Chi phí xây dựng sau thuế</v>
          </cell>
          <cell r="F250" t="str">
            <v>GST</v>
          </cell>
          <cell r="G250" t="str">
            <v>VNĐ</v>
          </cell>
          <cell r="H250">
            <v>1</v>
          </cell>
          <cell r="I250">
            <v>0</v>
          </cell>
        </row>
        <row r="251">
          <cell r="C251" t="str">
            <v/>
          </cell>
          <cell r="E251" t="str">
            <v>Chi phí lán trại tại hiện trường</v>
          </cell>
          <cell r="F251" t="str">
            <v>GXDNT</v>
          </cell>
          <cell r="G251" t="str">
            <v>VNĐ</v>
          </cell>
          <cell r="H251">
            <v>0.01</v>
          </cell>
          <cell r="I251">
            <v>0</v>
          </cell>
        </row>
        <row r="252">
          <cell r="C252" t="str">
            <v/>
          </cell>
          <cell r="E252" t="str">
            <v>Chi phí xây dựng tổng cộng</v>
          </cell>
          <cell r="F252" t="str">
            <v>GXD</v>
          </cell>
          <cell r="G252" t="str">
            <v>VNĐ</v>
          </cell>
          <cell r="H252" t="str">
            <v>GST + GXDNT</v>
          </cell>
        </row>
        <row r="253">
          <cell r="C253" t="str">
            <v>Số 1778 /BXD-VP: Định mức dự toán xây dựng công trình - Phần Xây dựng, ngày 16 tháng 08 năm 2007</v>
          </cell>
        </row>
        <row r="254">
          <cell r="C254">
            <v>18</v>
          </cell>
          <cell r="D254" t="str">
            <v>AB.53421</v>
          </cell>
          <cell r="E254" t="str">
            <v>Bốc, dỡ và vận chuyển cọc BTCT từ bãi đúc hiện hiện trường bằng ô tô, cự ly vận chuyển trung bình 1Km</v>
          </cell>
          <cell r="F254" t="str">
            <v/>
          </cell>
          <cell r="G254" t="str">
            <v>m3</v>
          </cell>
          <cell r="I254" t="str">
            <v/>
          </cell>
          <cell r="J254">
            <v>0</v>
          </cell>
          <cell r="K254">
            <v>0</v>
          </cell>
          <cell r="L254">
            <v>0</v>
          </cell>
        </row>
        <row r="255">
          <cell r="C255" t="str">
            <v/>
          </cell>
          <cell r="E255" t="str">
            <v>Ô tô ben 10 tấn</v>
          </cell>
          <cell r="F255" t="str">
            <v>M</v>
          </cell>
          <cell r="G255" t="str">
            <v>ca</v>
          </cell>
          <cell r="H255">
            <v>0.0138</v>
          </cell>
          <cell r="I255">
            <v>1852231.019350649</v>
          </cell>
          <cell r="J255" t="str">
            <v/>
          </cell>
          <cell r="K255" t="str">
            <v/>
          </cell>
          <cell r="L255">
            <v>25560.788067038957</v>
          </cell>
        </row>
        <row r="256">
          <cell r="C256" t="str">
            <v/>
          </cell>
          <cell r="E256" t="str">
            <v>Chi phí trực tiếp khác</v>
          </cell>
          <cell r="F256" t="str">
            <v>TT</v>
          </cell>
          <cell r="G256" t="str">
            <v>VNĐ</v>
          </cell>
          <cell r="H256">
            <v>0.02</v>
          </cell>
          <cell r="I256">
            <v>0</v>
          </cell>
        </row>
        <row r="257">
          <cell r="C257" t="str">
            <v/>
          </cell>
          <cell r="E257" t="str">
            <v>Chi phí trực tiếp</v>
          </cell>
          <cell r="F257" t="str">
            <v>T</v>
          </cell>
          <cell r="G257" t="str">
            <v>VNĐ</v>
          </cell>
          <cell r="H257">
            <v>1</v>
          </cell>
          <cell r="I257">
            <v>0</v>
          </cell>
        </row>
        <row r="258">
          <cell r="C258" t="str">
            <v/>
          </cell>
          <cell r="E258" t="str">
            <v>Chi phí chung</v>
          </cell>
          <cell r="F258" t="str">
            <v>C</v>
          </cell>
          <cell r="G258" t="str">
            <v>VNĐ</v>
          </cell>
          <cell r="H258">
            <v>0.05</v>
          </cell>
          <cell r="I258">
            <v>0</v>
          </cell>
        </row>
        <row r="259">
          <cell r="C259" t="str">
            <v/>
          </cell>
          <cell r="E259" t="str">
            <v>Thu nhập chịu thuế tính trước</v>
          </cell>
          <cell r="F259" t="str">
            <v>TL</v>
          </cell>
          <cell r="G259" t="str">
            <v>VNĐ</v>
          </cell>
          <cell r="H259">
            <v>0.055</v>
          </cell>
          <cell r="I259">
            <v>0</v>
          </cell>
        </row>
        <row r="260">
          <cell r="C260" t="str">
            <v/>
          </cell>
          <cell r="E260" t="str">
            <v>Chi phí xây dựng trước thuế</v>
          </cell>
          <cell r="F260" t="str">
            <v>G</v>
          </cell>
          <cell r="G260" t="str">
            <v>VNĐ</v>
          </cell>
          <cell r="H260">
            <v>1</v>
          </cell>
          <cell r="I260">
            <v>0</v>
          </cell>
        </row>
        <row r="261">
          <cell r="C261" t="str">
            <v/>
          </cell>
          <cell r="E261" t="str">
            <v>Thuế giá trị gia tăng </v>
          </cell>
          <cell r="F261" t="str">
            <v>VAT</v>
          </cell>
          <cell r="G261" t="str">
            <v>VNĐ</v>
          </cell>
          <cell r="H261">
            <v>0.1</v>
          </cell>
          <cell r="I261">
            <v>0</v>
          </cell>
        </row>
        <row r="262">
          <cell r="C262" t="str">
            <v/>
          </cell>
          <cell r="E262" t="str">
            <v>Chi phí xây dựng sau thuế</v>
          </cell>
          <cell r="F262" t="str">
            <v>GST</v>
          </cell>
          <cell r="G262" t="str">
            <v>VNĐ</v>
          </cell>
          <cell r="H262">
            <v>1</v>
          </cell>
          <cell r="I262">
            <v>0</v>
          </cell>
        </row>
        <row r="263">
          <cell r="C263" t="str">
            <v/>
          </cell>
          <cell r="E263" t="str">
            <v>Chi phí lán trại tại hiện trường</v>
          </cell>
          <cell r="F263" t="str">
            <v>GXDNT</v>
          </cell>
          <cell r="G263" t="str">
            <v>VNĐ</v>
          </cell>
          <cell r="H263">
            <v>0.01</v>
          </cell>
          <cell r="I263">
            <v>0</v>
          </cell>
        </row>
        <row r="264">
          <cell r="C264" t="str">
            <v/>
          </cell>
          <cell r="E264" t="str">
            <v>Chi phí xây dựng tổng cộng</v>
          </cell>
          <cell r="F264" t="str">
            <v>GXD</v>
          </cell>
          <cell r="G264" t="str">
            <v>VNĐ</v>
          </cell>
          <cell r="H264" t="str">
            <v>GST + GXDNT</v>
          </cell>
        </row>
        <row r="265">
          <cell r="C265">
            <v>19</v>
          </cell>
          <cell r="D265" t="str">
            <v>XP.7131</v>
          </cell>
          <cell r="E265" t="str">
            <v>Vận chuyển cọc mốc từ vị trí tập kết ra vị trí chôn cọc bằng phương tiện thô sơ (cự ly vận chuyển trung bình: 150m)</v>
          </cell>
          <cell r="F265" t="str">
            <v/>
          </cell>
          <cell r="G265" t="str">
            <v>Tấn</v>
          </cell>
          <cell r="I265" t="str">
            <v/>
          </cell>
          <cell r="J265">
            <v>0</v>
          </cell>
          <cell r="K265">
            <v>0</v>
          </cell>
          <cell r="L265">
            <v>0</v>
          </cell>
        </row>
        <row r="266">
          <cell r="C266" t="str">
            <v/>
          </cell>
          <cell r="E266" t="str">
            <v>Nhân công bậc: 3/7 (0,163+150/10*0,062)</v>
          </cell>
          <cell r="F266" t="str">
            <v>NC</v>
          </cell>
          <cell r="G266" t="str">
            <v>Công</v>
          </cell>
          <cell r="H266">
            <v>1.093</v>
          </cell>
          <cell r="I266">
            <v>215349.23076923078</v>
          </cell>
          <cell r="J266" t="str">
            <v/>
          </cell>
          <cell r="K266">
            <v>235376.70923076925</v>
          </cell>
          <cell r="L266" t="str">
            <v/>
          </cell>
        </row>
        <row r="267">
          <cell r="C267" t="str">
            <v/>
          </cell>
          <cell r="E267" t="str">
            <v>Chi phí trực tiếp khác</v>
          </cell>
          <cell r="F267" t="str">
            <v>TT</v>
          </cell>
          <cell r="G267" t="str">
            <v>VNĐ</v>
          </cell>
          <cell r="H267">
            <v>0.02</v>
          </cell>
          <cell r="I267">
            <v>0</v>
          </cell>
        </row>
        <row r="268">
          <cell r="C268" t="str">
            <v/>
          </cell>
          <cell r="E268" t="str">
            <v>Chi phí trực tiếp</v>
          </cell>
          <cell r="F268" t="str">
            <v>T</v>
          </cell>
          <cell r="G268" t="str">
            <v>VNĐ</v>
          </cell>
          <cell r="H268">
            <v>1</v>
          </cell>
          <cell r="I268">
            <v>0</v>
          </cell>
        </row>
        <row r="269">
          <cell r="C269" t="str">
            <v/>
          </cell>
          <cell r="E269" t="str">
            <v>Chi phí chung</v>
          </cell>
          <cell r="F269" t="str">
            <v>C</v>
          </cell>
          <cell r="G269" t="str">
            <v>VNĐ</v>
          </cell>
          <cell r="H269">
            <v>0.05</v>
          </cell>
          <cell r="I269">
            <v>0</v>
          </cell>
        </row>
        <row r="270">
          <cell r="C270" t="str">
            <v/>
          </cell>
          <cell r="E270" t="str">
            <v>Thu nhập chịu thuế tính trước</v>
          </cell>
          <cell r="F270" t="str">
            <v>TL</v>
          </cell>
          <cell r="G270" t="str">
            <v>VNĐ</v>
          </cell>
          <cell r="H270">
            <v>0.055</v>
          </cell>
          <cell r="I270">
            <v>0</v>
          </cell>
        </row>
        <row r="271">
          <cell r="C271" t="str">
            <v/>
          </cell>
          <cell r="E271" t="str">
            <v>Chi phí xây dựng trước thuế</v>
          </cell>
          <cell r="F271" t="str">
            <v>G</v>
          </cell>
          <cell r="G271" t="str">
            <v>VNĐ</v>
          </cell>
          <cell r="H271">
            <v>1</v>
          </cell>
          <cell r="I271">
            <v>0</v>
          </cell>
        </row>
        <row r="272">
          <cell r="C272" t="str">
            <v/>
          </cell>
          <cell r="E272" t="str">
            <v>Thuế giá trị gia tăng </v>
          </cell>
          <cell r="F272" t="str">
            <v>VAT</v>
          </cell>
          <cell r="G272" t="str">
            <v>VNĐ</v>
          </cell>
          <cell r="H272">
            <v>0.1</v>
          </cell>
          <cell r="I272">
            <v>0</v>
          </cell>
        </row>
        <row r="273">
          <cell r="C273" t="str">
            <v/>
          </cell>
          <cell r="E273" t="str">
            <v>Chi phí xây dựng sau thuế</v>
          </cell>
          <cell r="F273" t="str">
            <v>GST</v>
          </cell>
          <cell r="G273" t="str">
            <v>VNĐ</v>
          </cell>
          <cell r="H273">
            <v>1</v>
          </cell>
          <cell r="I273">
            <v>0</v>
          </cell>
        </row>
        <row r="274">
          <cell r="C274" t="str">
            <v/>
          </cell>
          <cell r="E274" t="str">
            <v>Chi phí lán trại tại hiện trường</v>
          </cell>
          <cell r="F274" t="str">
            <v>GXDNT</v>
          </cell>
          <cell r="G274" t="str">
            <v>VNĐ</v>
          </cell>
          <cell r="H274">
            <v>0.01</v>
          </cell>
          <cell r="I274">
            <v>0</v>
          </cell>
        </row>
        <row r="275">
          <cell r="C275" t="str">
            <v/>
          </cell>
          <cell r="E275" t="str">
            <v>Chi phí xây dựng tổng cộng</v>
          </cell>
          <cell r="F275" t="str">
            <v>GXD</v>
          </cell>
          <cell r="G275" t="str">
            <v>VNĐ</v>
          </cell>
          <cell r="H275" t="str">
            <v>GST + GXDNT</v>
          </cell>
        </row>
        <row r="276">
          <cell r="C276" t="str">
            <v>Số 1779 /BXD-VP: Định mức dự toán xây dựng công trình - Phần Xây dựng, ngày 16 tháng 08 năm 2007</v>
          </cell>
        </row>
        <row r="277">
          <cell r="C277">
            <v>20</v>
          </cell>
          <cell r="D277" t="str">
            <v>CK.04303vd</v>
          </cell>
          <cell r="E277" t="str">
            <v>Xác định vị trí cắm cọc phân lô, nghiệm thu bàn giao cọc, cấp địa hình I</v>
          </cell>
          <cell r="F277" t="str">
            <v/>
          </cell>
          <cell r="G277" t="str">
            <v>Mốc</v>
          </cell>
          <cell r="I277" t="str">
            <v/>
          </cell>
          <cell r="J277">
            <v>0</v>
          </cell>
          <cell r="K277">
            <v>0</v>
          </cell>
          <cell r="L277">
            <v>0</v>
          </cell>
        </row>
        <row r="278">
          <cell r="C278" t="str">
            <v/>
          </cell>
          <cell r="E278" t="str">
            <v>Cọc GPMB</v>
          </cell>
          <cell r="F278" t="str">
            <v>VL</v>
          </cell>
          <cell r="G278" t="str">
            <v>Cọc</v>
          </cell>
          <cell r="H278">
            <v>0</v>
          </cell>
          <cell r="I278" t="e">
            <v>#N/A</v>
          </cell>
          <cell r="J278" t="e">
            <v>#N/A</v>
          </cell>
          <cell r="K278" t="str">
            <v/>
          </cell>
          <cell r="L278" t="str">
            <v/>
          </cell>
        </row>
        <row r="279">
          <cell r="C279" t="str">
            <v/>
          </cell>
          <cell r="E279" t="str">
            <v>Vật liệu khác</v>
          </cell>
          <cell r="F279" t="str">
            <v>VL</v>
          </cell>
          <cell r="G279" t="str">
            <v>%</v>
          </cell>
          <cell r="H279">
            <v>10</v>
          </cell>
          <cell r="I279">
            <v>0</v>
          </cell>
          <cell r="J279">
            <v>0</v>
          </cell>
          <cell r="K279" t="str">
            <v/>
          </cell>
          <cell r="L279" t="str">
            <v/>
          </cell>
        </row>
        <row r="280">
          <cell r="C280" t="str">
            <v/>
          </cell>
          <cell r="E280" t="str">
            <v>Nhân công bậc: 4/7 (10 cọc/công)</v>
          </cell>
          <cell r="F280" t="str">
            <v>NC</v>
          </cell>
          <cell r="G280" t="str">
            <v>Công</v>
          </cell>
          <cell r="H280">
            <v>0.1</v>
          </cell>
          <cell r="I280">
            <v>250241.53846153847</v>
          </cell>
          <cell r="J280" t="str">
            <v/>
          </cell>
          <cell r="K280">
            <v>25024.153846153848</v>
          </cell>
          <cell r="L280" t="str">
            <v/>
          </cell>
        </row>
        <row r="281">
          <cell r="C281" t="str">
            <v/>
          </cell>
          <cell r="E281" t="str">
            <v>Máy toàn đạc điện tử (40 cọc/ca)</v>
          </cell>
          <cell r="F281" t="str">
            <v>M</v>
          </cell>
          <cell r="G281" t="str">
            <v>Ca</v>
          </cell>
          <cell r="H281">
            <v>0.025</v>
          </cell>
          <cell r="I281">
            <v>99333</v>
          </cell>
          <cell r="J281" t="str">
            <v/>
          </cell>
          <cell r="K281" t="str">
            <v/>
          </cell>
          <cell r="L281">
            <v>2483.3250000000003</v>
          </cell>
        </row>
        <row r="282">
          <cell r="C282" t="str">
            <v/>
          </cell>
          <cell r="E282" t="str">
            <v>Máy khác</v>
          </cell>
          <cell r="F282" t="str">
            <v>M</v>
          </cell>
          <cell r="G282" t="str">
            <v>%</v>
          </cell>
          <cell r="H282">
            <v>5</v>
          </cell>
          <cell r="I282">
            <v>0</v>
          </cell>
          <cell r="J282" t="str">
            <v/>
          </cell>
          <cell r="K282" t="str">
            <v/>
          </cell>
          <cell r="L282">
            <v>0</v>
          </cell>
        </row>
        <row r="283">
          <cell r="C283" t="str">
            <v/>
          </cell>
          <cell r="E283" t="str">
            <v>Công chi phí trực tiếp</v>
          </cell>
          <cell r="F283" t="str">
            <v>C</v>
          </cell>
          <cell r="G283" t="str">
            <v>VNĐ</v>
          </cell>
          <cell r="H283">
            <v>1</v>
          </cell>
          <cell r="I283">
            <v>0</v>
          </cell>
        </row>
        <row r="284">
          <cell r="C284" t="str">
            <v/>
          </cell>
          <cell r="E284" t="str">
            <v>Chi phí chung</v>
          </cell>
          <cell r="F284" t="str">
            <v>P</v>
          </cell>
          <cell r="G284" t="str">
            <v>VNĐ</v>
          </cell>
          <cell r="H284">
            <v>0.7</v>
          </cell>
          <cell r="I284">
            <v>0</v>
          </cell>
        </row>
        <row r="285">
          <cell r="C285" t="str">
            <v/>
          </cell>
          <cell r="E285" t="str">
            <v>Thu nhập chịu thuế tính trước</v>
          </cell>
          <cell r="F285" t="str">
            <v>TL</v>
          </cell>
          <cell r="G285" t="str">
            <v>VNĐ</v>
          </cell>
          <cell r="H285">
            <v>0.055</v>
          </cell>
          <cell r="I285">
            <v>0</v>
          </cell>
        </row>
        <row r="286">
          <cell r="C286" t="str">
            <v/>
          </cell>
          <cell r="E286" t="str">
            <v>Chi phí lập phương án, báo cáo kết quả khảo sát</v>
          </cell>
          <cell r="F286" t="str">
            <v>D</v>
          </cell>
          <cell r="G286" t="str">
            <v>VNĐ</v>
          </cell>
          <cell r="H286">
            <v>0.05</v>
          </cell>
          <cell r="I286">
            <v>0</v>
          </cell>
        </row>
        <row r="287">
          <cell r="C287" t="str">
            <v/>
          </cell>
          <cell r="E287" t="str">
            <v>Chi phí chổ ở tạm thời</v>
          </cell>
          <cell r="F287" t="str">
            <v>LT</v>
          </cell>
          <cell r="G287" t="str">
            <v>VNĐ</v>
          </cell>
          <cell r="H287">
            <v>0.05</v>
          </cell>
          <cell r="I287">
            <v>0</v>
          </cell>
        </row>
        <row r="288">
          <cell r="C288" t="str">
            <v/>
          </cell>
          <cell r="E288" t="str">
            <v>Chi phí xây dựng trước thuế</v>
          </cell>
          <cell r="F288" t="str">
            <v>G</v>
          </cell>
          <cell r="G288" t="str">
            <v>VNĐ</v>
          </cell>
          <cell r="H288">
            <v>1</v>
          </cell>
          <cell r="I288">
            <v>0</v>
          </cell>
        </row>
        <row r="289">
          <cell r="C289" t="str">
            <v/>
          </cell>
          <cell r="E289" t="str">
            <v>Thuế giá trị gia tăng </v>
          </cell>
          <cell r="F289" t="str">
            <v>VAT</v>
          </cell>
          <cell r="G289" t="str">
            <v>VNĐ</v>
          </cell>
          <cell r="H289">
            <v>0.1</v>
          </cell>
          <cell r="I289">
            <v>0</v>
          </cell>
        </row>
        <row r="290">
          <cell r="C290" t="str">
            <v/>
          </cell>
          <cell r="E290" t="str">
            <v>Chi phí xây dựng tổng cộng</v>
          </cell>
          <cell r="F290" t="str">
            <v>GXD</v>
          </cell>
          <cell r="G290" t="str">
            <v>VNĐ</v>
          </cell>
          <cell r="H290" t="str">
            <v>G + VAT</v>
          </cell>
        </row>
        <row r="291">
          <cell r="C291">
            <v>21</v>
          </cell>
          <cell r="D291" t="str">
            <v>CO.01202</v>
          </cell>
          <cell r="E291" t="str">
            <v>Xác định vị trí và Cắm cọc GPMB cấp địa hình II (Băng phương pháp đo trắc ngang)</v>
          </cell>
          <cell r="F291" t="str">
            <v/>
          </cell>
          <cell r="G291" t="str">
            <v>100m</v>
          </cell>
          <cell r="I291" t="str">
            <v/>
          </cell>
          <cell r="J291">
            <v>0</v>
          </cell>
          <cell r="K291">
            <v>0</v>
          </cell>
          <cell r="L291">
            <v>0</v>
          </cell>
        </row>
        <row r="292">
          <cell r="C292" t="str">
            <v/>
          </cell>
          <cell r="E292" t="str">
            <v>Cọc gỗ 4x4x40</v>
          </cell>
          <cell r="F292" t="str">
            <v>VL</v>
          </cell>
          <cell r="G292" t="str">
            <v>cái</v>
          </cell>
          <cell r="H292">
            <v>6</v>
          </cell>
          <cell r="I292">
            <v>5000</v>
          </cell>
          <cell r="J292">
            <v>30000</v>
          </cell>
          <cell r="K292" t="str">
            <v/>
          </cell>
          <cell r="L292" t="str">
            <v/>
          </cell>
        </row>
        <row r="293">
          <cell r="C293" t="str">
            <v/>
          </cell>
          <cell r="E293" t="str">
            <v>Sơn trắng &amp; đỏ</v>
          </cell>
          <cell r="F293" t="str">
            <v>VL</v>
          </cell>
          <cell r="G293" t="str">
            <v>Kg</v>
          </cell>
          <cell r="H293">
            <v>0.06</v>
          </cell>
          <cell r="I293">
            <v>13020</v>
          </cell>
          <cell r="J293">
            <v>781.1999999999999</v>
          </cell>
          <cell r="K293" t="str">
            <v/>
          </cell>
          <cell r="L293" t="str">
            <v/>
          </cell>
        </row>
        <row r="294">
          <cell r="C294" t="str">
            <v/>
          </cell>
          <cell r="E294" t="str">
            <v>Sổ đo các loại</v>
          </cell>
          <cell r="F294" t="str">
            <v>VL</v>
          </cell>
          <cell r="G294" t="str">
            <v>quyển</v>
          </cell>
          <cell r="H294">
            <v>0.5</v>
          </cell>
          <cell r="I294">
            <v>6500</v>
          </cell>
          <cell r="J294">
            <v>3250</v>
          </cell>
          <cell r="K294" t="str">
            <v/>
          </cell>
          <cell r="L294" t="str">
            <v/>
          </cell>
        </row>
        <row r="295">
          <cell r="C295" t="str">
            <v/>
          </cell>
          <cell r="E295" t="str">
            <v>Giấy kẻ ly cao 0.3m</v>
          </cell>
          <cell r="F295" t="str">
            <v>VL</v>
          </cell>
          <cell r="G295" t="str">
            <v>m</v>
          </cell>
          <cell r="H295">
            <v>0.5</v>
          </cell>
          <cell r="I295">
            <v>2000</v>
          </cell>
          <cell r="J295">
            <v>1000</v>
          </cell>
          <cell r="K295" t="str">
            <v/>
          </cell>
          <cell r="L295" t="str">
            <v/>
          </cell>
        </row>
        <row r="296">
          <cell r="C296" t="str">
            <v/>
          </cell>
          <cell r="E296" t="str">
            <v>Giấy can cao 0.3m</v>
          </cell>
          <cell r="F296" t="str">
            <v>VL</v>
          </cell>
          <cell r="G296" t="str">
            <v>m</v>
          </cell>
          <cell r="H296">
            <v>0.5</v>
          </cell>
          <cell r="I296">
            <v>50000</v>
          </cell>
          <cell r="J296">
            <v>25000</v>
          </cell>
          <cell r="K296" t="str">
            <v/>
          </cell>
          <cell r="L296" t="str">
            <v/>
          </cell>
        </row>
        <row r="297">
          <cell r="C297" t="str">
            <v/>
          </cell>
          <cell r="E297" t="str">
            <v>Vật liệu khác</v>
          </cell>
          <cell r="F297" t="str">
            <v>VL</v>
          </cell>
          <cell r="G297" t="str">
            <v>%</v>
          </cell>
          <cell r="H297">
            <v>10</v>
          </cell>
          <cell r="I297">
            <v>0</v>
          </cell>
          <cell r="J297">
            <v>0</v>
          </cell>
          <cell r="K297" t="str">
            <v/>
          </cell>
          <cell r="L297" t="str">
            <v/>
          </cell>
        </row>
        <row r="298">
          <cell r="C298" t="str">
            <v/>
          </cell>
          <cell r="E298" t="str">
            <v>Nhân công bậc: 4/7</v>
          </cell>
          <cell r="F298" t="str">
            <v>NC</v>
          </cell>
          <cell r="G298" t="str">
            <v>Công</v>
          </cell>
          <cell r="H298">
            <v>2.87</v>
          </cell>
          <cell r="I298">
            <v>250241.53846153847</v>
          </cell>
          <cell r="J298" t="str">
            <v/>
          </cell>
          <cell r="K298">
            <v>718193.2153846155</v>
          </cell>
          <cell r="L298" t="str">
            <v/>
          </cell>
        </row>
        <row r="299">
          <cell r="C299" t="str">
            <v/>
          </cell>
          <cell r="E299" t="str">
            <v>Theo 020</v>
          </cell>
          <cell r="F299" t="str">
            <v>M</v>
          </cell>
          <cell r="G299" t="str">
            <v>Ca</v>
          </cell>
          <cell r="H299">
            <v>0.3</v>
          </cell>
          <cell r="I299">
            <v>11007</v>
          </cell>
          <cell r="J299" t="str">
            <v/>
          </cell>
          <cell r="K299" t="str">
            <v/>
          </cell>
          <cell r="L299">
            <v>3302.1</v>
          </cell>
        </row>
        <row r="300">
          <cell r="C300" t="str">
            <v/>
          </cell>
          <cell r="E300" t="str">
            <v>Ni 030</v>
          </cell>
          <cell r="F300" t="str">
            <v>M</v>
          </cell>
          <cell r="G300" t="str">
            <v>Ca</v>
          </cell>
          <cell r="H300">
            <v>0.1</v>
          </cell>
          <cell r="I300">
            <v>5902</v>
          </cell>
          <cell r="J300" t="str">
            <v/>
          </cell>
          <cell r="K300" t="str">
            <v/>
          </cell>
          <cell r="L300">
            <v>590.2</v>
          </cell>
        </row>
        <row r="301">
          <cell r="C301" t="str">
            <v/>
          </cell>
          <cell r="E301" t="str">
            <v>Máy khác</v>
          </cell>
          <cell r="F301" t="str">
            <v>M</v>
          </cell>
          <cell r="G301" t="str">
            <v>%</v>
          </cell>
          <cell r="H301">
            <v>5</v>
          </cell>
          <cell r="I301">
            <v>0</v>
          </cell>
          <cell r="J301" t="str">
            <v/>
          </cell>
          <cell r="K301" t="str">
            <v/>
          </cell>
          <cell r="L301">
            <v>0</v>
          </cell>
        </row>
        <row r="302">
          <cell r="C302" t="str">
            <v/>
          </cell>
          <cell r="E302" t="str">
            <v>Công chi phí trực tiếp</v>
          </cell>
          <cell r="F302" t="str">
            <v>C</v>
          </cell>
          <cell r="G302" t="str">
            <v>VNĐ</v>
          </cell>
          <cell r="H302">
            <v>1</v>
          </cell>
          <cell r="I302">
            <v>0</v>
          </cell>
        </row>
        <row r="303">
          <cell r="C303" t="str">
            <v/>
          </cell>
          <cell r="E303" t="str">
            <v>Chi phí chung</v>
          </cell>
          <cell r="F303" t="str">
            <v>P</v>
          </cell>
          <cell r="G303" t="str">
            <v>VNĐ</v>
          </cell>
          <cell r="H303">
            <v>0.7</v>
          </cell>
          <cell r="I303">
            <v>0</v>
          </cell>
        </row>
        <row r="304">
          <cell r="C304" t="str">
            <v/>
          </cell>
          <cell r="E304" t="str">
            <v>Thu nhập chịu thuế tính trước</v>
          </cell>
          <cell r="F304" t="str">
            <v>TL</v>
          </cell>
          <cell r="G304" t="str">
            <v>VNĐ</v>
          </cell>
          <cell r="H304">
            <v>0.055</v>
          </cell>
          <cell r="I304">
            <v>0</v>
          </cell>
        </row>
        <row r="305">
          <cell r="C305" t="str">
            <v/>
          </cell>
          <cell r="E305" t="str">
            <v>Chi phí lập phương án, báo cáo kết quả khảo sát</v>
          </cell>
          <cell r="F305" t="str">
            <v>D</v>
          </cell>
          <cell r="G305" t="str">
            <v>VNĐ</v>
          </cell>
          <cell r="H305">
            <v>0.05</v>
          </cell>
          <cell r="I305">
            <v>0</v>
          </cell>
        </row>
        <row r="306">
          <cell r="C306" t="str">
            <v/>
          </cell>
          <cell r="E306" t="str">
            <v>Chi phí chổ ở tạm thời</v>
          </cell>
          <cell r="F306" t="str">
            <v>LT</v>
          </cell>
          <cell r="G306" t="str">
            <v>VNĐ</v>
          </cell>
          <cell r="H306">
            <v>0.05</v>
          </cell>
          <cell r="I306">
            <v>0</v>
          </cell>
        </row>
        <row r="307">
          <cell r="C307" t="str">
            <v/>
          </cell>
          <cell r="E307" t="str">
            <v>Chi phí xây dựng trước thuế</v>
          </cell>
          <cell r="F307" t="str">
            <v>G</v>
          </cell>
          <cell r="G307" t="str">
            <v>VNĐ</v>
          </cell>
          <cell r="H307">
            <v>1</v>
          </cell>
          <cell r="I307">
            <v>0</v>
          </cell>
        </row>
        <row r="308">
          <cell r="C308" t="str">
            <v/>
          </cell>
          <cell r="E308" t="str">
            <v>Thuế giá trị gia tăng </v>
          </cell>
          <cell r="F308" t="str">
            <v>VAT</v>
          </cell>
          <cell r="G308" t="str">
            <v>VNĐ</v>
          </cell>
          <cell r="H308">
            <v>0.1</v>
          </cell>
          <cell r="I308">
            <v>0</v>
          </cell>
        </row>
        <row r="309">
          <cell r="C309" t="str">
            <v/>
          </cell>
          <cell r="E309" t="str">
            <v>Chi phí xây dựng tổng cộng</v>
          </cell>
          <cell r="F309" t="str">
            <v>GXD</v>
          </cell>
          <cell r="G309" t="str">
            <v>VNĐ</v>
          </cell>
          <cell r="H309" t="str">
            <v>G + VAT</v>
          </cell>
        </row>
        <row r="310">
          <cell r="C310">
            <v>22</v>
          </cell>
          <cell r="D310" t="str">
            <v>CO.01203</v>
          </cell>
          <cell r="E310" t="str">
            <v>Xác định vị trí và Cắm cọc GPMB cấp địa hình III (Băng phương pháp đo trắc ngang)</v>
          </cell>
          <cell r="F310" t="str">
            <v/>
          </cell>
          <cell r="G310" t="str">
            <v>100m</v>
          </cell>
          <cell r="I310" t="str">
            <v/>
          </cell>
          <cell r="J310">
            <v>0</v>
          </cell>
          <cell r="K310">
            <v>0</v>
          </cell>
          <cell r="L310">
            <v>0</v>
          </cell>
        </row>
        <row r="311">
          <cell r="C311" t="str">
            <v/>
          </cell>
          <cell r="E311" t="str">
            <v>Cọc gỗ 4x4x40</v>
          </cell>
          <cell r="F311" t="str">
            <v>VL</v>
          </cell>
          <cell r="G311" t="str">
            <v>cái</v>
          </cell>
          <cell r="H311">
            <v>7</v>
          </cell>
          <cell r="I311">
            <v>5000</v>
          </cell>
          <cell r="J311">
            <v>35000</v>
          </cell>
          <cell r="K311" t="str">
            <v/>
          </cell>
          <cell r="L311" t="str">
            <v/>
          </cell>
        </row>
        <row r="312">
          <cell r="C312" t="str">
            <v/>
          </cell>
          <cell r="E312" t="str">
            <v>Sơn trắng &amp; đỏ</v>
          </cell>
          <cell r="F312" t="str">
            <v>VL</v>
          </cell>
          <cell r="G312" t="str">
            <v>Kg</v>
          </cell>
          <cell r="H312">
            <v>0.07</v>
          </cell>
          <cell r="I312">
            <v>13020</v>
          </cell>
          <cell r="J312">
            <v>911.4000000000001</v>
          </cell>
          <cell r="K312" t="str">
            <v/>
          </cell>
          <cell r="L312" t="str">
            <v/>
          </cell>
        </row>
        <row r="313">
          <cell r="C313" t="str">
            <v/>
          </cell>
          <cell r="E313" t="str">
            <v>Sổ đo các loại</v>
          </cell>
          <cell r="F313" t="str">
            <v>VL</v>
          </cell>
          <cell r="G313" t="str">
            <v>quyển</v>
          </cell>
          <cell r="H313">
            <v>0.5</v>
          </cell>
          <cell r="I313">
            <v>6500</v>
          </cell>
          <cell r="J313">
            <v>3250</v>
          </cell>
          <cell r="K313" t="str">
            <v/>
          </cell>
          <cell r="L313" t="str">
            <v/>
          </cell>
        </row>
        <row r="314">
          <cell r="C314" t="str">
            <v/>
          </cell>
          <cell r="E314" t="str">
            <v>Giấy kẻ ly cao 0.3m</v>
          </cell>
          <cell r="F314" t="str">
            <v>VL</v>
          </cell>
          <cell r="G314" t="str">
            <v>m</v>
          </cell>
          <cell r="H314">
            <v>0.5</v>
          </cell>
          <cell r="I314">
            <v>2000</v>
          </cell>
          <cell r="J314">
            <v>1000</v>
          </cell>
          <cell r="K314" t="str">
            <v/>
          </cell>
          <cell r="L314" t="str">
            <v/>
          </cell>
        </row>
        <row r="315">
          <cell r="C315" t="str">
            <v/>
          </cell>
          <cell r="E315" t="str">
            <v>Giấy can cao 0.3m</v>
          </cell>
          <cell r="F315" t="str">
            <v>VL</v>
          </cell>
          <cell r="G315" t="str">
            <v>m</v>
          </cell>
          <cell r="H315">
            <v>0.5</v>
          </cell>
          <cell r="I315">
            <v>50000</v>
          </cell>
          <cell r="J315">
            <v>25000</v>
          </cell>
          <cell r="K315" t="str">
            <v/>
          </cell>
          <cell r="L315" t="str">
            <v/>
          </cell>
        </row>
        <row r="316">
          <cell r="C316" t="str">
            <v/>
          </cell>
          <cell r="E316" t="str">
            <v>Vật liệu khác</v>
          </cell>
          <cell r="F316" t="str">
            <v>VL</v>
          </cell>
          <cell r="G316" t="str">
            <v>%</v>
          </cell>
          <cell r="H316">
            <v>10</v>
          </cell>
          <cell r="I316">
            <v>0</v>
          </cell>
          <cell r="J316">
            <v>0</v>
          </cell>
          <cell r="K316" t="str">
            <v/>
          </cell>
          <cell r="L316" t="str">
            <v/>
          </cell>
        </row>
        <row r="317">
          <cell r="C317" t="str">
            <v/>
          </cell>
          <cell r="E317" t="str">
            <v>Nhân công bậc: 4/7</v>
          </cell>
          <cell r="F317" t="str">
            <v>NC</v>
          </cell>
          <cell r="G317" t="str">
            <v>Công</v>
          </cell>
          <cell r="H317">
            <v>3.73</v>
          </cell>
          <cell r="I317">
            <v>250241.53846153847</v>
          </cell>
          <cell r="J317" t="str">
            <v/>
          </cell>
          <cell r="K317">
            <v>933400.9384615385</v>
          </cell>
          <cell r="L317" t="str">
            <v/>
          </cell>
        </row>
        <row r="318">
          <cell r="C318" t="str">
            <v/>
          </cell>
          <cell r="E318" t="str">
            <v>Theo 020</v>
          </cell>
          <cell r="F318" t="str">
            <v>M</v>
          </cell>
          <cell r="G318" t="str">
            <v>Ca</v>
          </cell>
          <cell r="H318">
            <v>0.39</v>
          </cell>
          <cell r="I318">
            <v>11007</v>
          </cell>
          <cell r="J318" t="str">
            <v/>
          </cell>
          <cell r="K318" t="str">
            <v/>
          </cell>
          <cell r="L318">
            <v>4292.7300000000005</v>
          </cell>
        </row>
        <row r="319">
          <cell r="C319" t="str">
            <v/>
          </cell>
          <cell r="E319" t="str">
            <v>Ni 030</v>
          </cell>
          <cell r="F319" t="str">
            <v>M</v>
          </cell>
          <cell r="G319" t="str">
            <v>Ca</v>
          </cell>
          <cell r="H319">
            <v>0.15</v>
          </cell>
          <cell r="I319">
            <v>5902</v>
          </cell>
          <cell r="J319" t="str">
            <v/>
          </cell>
          <cell r="K319" t="str">
            <v/>
          </cell>
          <cell r="L319">
            <v>885.3</v>
          </cell>
        </row>
        <row r="320">
          <cell r="C320" t="str">
            <v/>
          </cell>
          <cell r="E320" t="str">
            <v>Máy khác</v>
          </cell>
          <cell r="F320" t="str">
            <v>M</v>
          </cell>
          <cell r="G320" t="str">
            <v>%</v>
          </cell>
          <cell r="H320">
            <v>5</v>
          </cell>
          <cell r="I320">
            <v>0</v>
          </cell>
          <cell r="J320" t="str">
            <v/>
          </cell>
          <cell r="K320" t="str">
            <v/>
          </cell>
          <cell r="L320">
            <v>0</v>
          </cell>
        </row>
        <row r="321">
          <cell r="C321" t="str">
            <v/>
          </cell>
          <cell r="E321" t="str">
            <v>Công chi phí trực tiếp</v>
          </cell>
          <cell r="F321" t="str">
            <v>C</v>
          </cell>
          <cell r="G321" t="str">
            <v>VNĐ</v>
          </cell>
          <cell r="H321">
            <v>1</v>
          </cell>
          <cell r="I321">
            <v>0</v>
          </cell>
        </row>
        <row r="322">
          <cell r="C322" t="str">
            <v/>
          </cell>
          <cell r="E322" t="str">
            <v>Chi phí chung</v>
          </cell>
          <cell r="F322" t="str">
            <v>P</v>
          </cell>
          <cell r="G322" t="str">
            <v>VNĐ</v>
          </cell>
          <cell r="H322">
            <v>0.7</v>
          </cell>
          <cell r="I322">
            <v>0</v>
          </cell>
        </row>
        <row r="323">
          <cell r="C323" t="str">
            <v/>
          </cell>
          <cell r="E323" t="str">
            <v>Thu nhập chịu thuế tính trước</v>
          </cell>
          <cell r="F323" t="str">
            <v>TL</v>
          </cell>
          <cell r="G323" t="str">
            <v>VNĐ</v>
          </cell>
          <cell r="H323">
            <v>0.055</v>
          </cell>
          <cell r="I323">
            <v>0</v>
          </cell>
        </row>
        <row r="324">
          <cell r="C324" t="str">
            <v/>
          </cell>
          <cell r="E324" t="str">
            <v>Chi phí lập phương án, báo cáo kết quả khảo sát</v>
          </cell>
          <cell r="F324" t="str">
            <v>D</v>
          </cell>
          <cell r="G324" t="str">
            <v>VNĐ</v>
          </cell>
          <cell r="H324">
            <v>0.05</v>
          </cell>
          <cell r="I324">
            <v>0</v>
          </cell>
        </row>
        <row r="325">
          <cell r="C325" t="str">
            <v/>
          </cell>
          <cell r="E325" t="str">
            <v>Chi phí chổ ở tạm thời</v>
          </cell>
          <cell r="F325" t="str">
            <v>LT</v>
          </cell>
          <cell r="G325" t="str">
            <v>VNĐ</v>
          </cell>
          <cell r="H325">
            <v>0.05</v>
          </cell>
          <cell r="I325">
            <v>0</v>
          </cell>
        </row>
        <row r="326">
          <cell r="C326" t="str">
            <v/>
          </cell>
          <cell r="E326" t="str">
            <v>Chi phí xây dựng trước thuế</v>
          </cell>
          <cell r="F326" t="str">
            <v>G</v>
          </cell>
          <cell r="G326" t="str">
            <v>VNĐ</v>
          </cell>
          <cell r="H326">
            <v>1</v>
          </cell>
          <cell r="I326">
            <v>0</v>
          </cell>
        </row>
        <row r="327">
          <cell r="C327" t="str">
            <v/>
          </cell>
          <cell r="E327" t="str">
            <v>Thuế giá trị gia tăng </v>
          </cell>
          <cell r="F327" t="str">
            <v>VAT</v>
          </cell>
          <cell r="G327" t="str">
            <v>VNĐ</v>
          </cell>
          <cell r="H327">
            <v>0.1</v>
          </cell>
          <cell r="I327">
            <v>0</v>
          </cell>
        </row>
        <row r="328">
          <cell r="C328" t="str">
            <v/>
          </cell>
          <cell r="E328" t="str">
            <v>Chi phí xây dựng tổng cộng</v>
          </cell>
          <cell r="F328" t="str">
            <v>GXD</v>
          </cell>
          <cell r="G328" t="str">
            <v>VNĐ</v>
          </cell>
          <cell r="H328" t="str">
            <v>G + VAT</v>
          </cell>
        </row>
        <row r="329">
          <cell r="C329">
            <v>23</v>
          </cell>
          <cell r="D329" t="str">
            <v>CO.01204</v>
          </cell>
          <cell r="E329" t="str">
            <v>Xác định vị trí và Cắm cọc GPMB cấp địa hình IV (Băng phương pháp đo trắc ngang)</v>
          </cell>
          <cell r="F329" t="str">
            <v/>
          </cell>
          <cell r="G329" t="str">
            <v>100m</v>
          </cell>
          <cell r="I329" t="str">
            <v/>
          </cell>
          <cell r="J329">
            <v>0</v>
          </cell>
          <cell r="K329">
            <v>0</v>
          </cell>
          <cell r="L329">
            <v>0</v>
          </cell>
        </row>
        <row r="330">
          <cell r="C330" t="str">
            <v/>
          </cell>
          <cell r="E330" t="str">
            <v>Cọc gỗ 4x4x40</v>
          </cell>
          <cell r="F330" t="str">
            <v>VL</v>
          </cell>
          <cell r="G330" t="str">
            <v>cái</v>
          </cell>
          <cell r="H330">
            <v>8</v>
          </cell>
          <cell r="I330">
            <v>5000</v>
          </cell>
          <cell r="J330">
            <v>40000</v>
          </cell>
          <cell r="K330" t="str">
            <v/>
          </cell>
          <cell r="L330" t="str">
            <v/>
          </cell>
        </row>
        <row r="331">
          <cell r="C331" t="str">
            <v/>
          </cell>
          <cell r="E331" t="str">
            <v>Sơn trắng &amp; đỏ</v>
          </cell>
          <cell r="F331" t="str">
            <v>VL</v>
          </cell>
          <cell r="G331" t="str">
            <v>Kg</v>
          </cell>
          <cell r="H331">
            <v>0.08</v>
          </cell>
          <cell r="I331">
            <v>13020</v>
          </cell>
          <cell r="J331">
            <v>1041.6</v>
          </cell>
          <cell r="K331" t="str">
            <v/>
          </cell>
          <cell r="L331" t="str">
            <v/>
          </cell>
        </row>
        <row r="332">
          <cell r="C332" t="str">
            <v/>
          </cell>
          <cell r="E332" t="str">
            <v>Sổ đo các loại</v>
          </cell>
          <cell r="F332" t="str">
            <v>VL</v>
          </cell>
          <cell r="G332" t="str">
            <v>quyển</v>
          </cell>
          <cell r="H332">
            <v>0.5</v>
          </cell>
          <cell r="I332">
            <v>6500</v>
          </cell>
          <cell r="J332">
            <v>3250</v>
          </cell>
          <cell r="K332" t="str">
            <v/>
          </cell>
          <cell r="L332" t="str">
            <v/>
          </cell>
        </row>
        <row r="333">
          <cell r="C333" t="str">
            <v/>
          </cell>
          <cell r="E333" t="str">
            <v>Giấy kẻ ly cao 0.3m</v>
          </cell>
          <cell r="F333" t="str">
            <v>VL</v>
          </cell>
          <cell r="G333" t="str">
            <v>m</v>
          </cell>
          <cell r="H333">
            <v>0.5</v>
          </cell>
          <cell r="I333">
            <v>2000</v>
          </cell>
          <cell r="J333">
            <v>1000</v>
          </cell>
          <cell r="K333" t="str">
            <v/>
          </cell>
          <cell r="L333" t="str">
            <v/>
          </cell>
        </row>
        <row r="334">
          <cell r="C334" t="str">
            <v/>
          </cell>
          <cell r="E334" t="str">
            <v>Giấy can cao 0.3m</v>
          </cell>
          <cell r="F334" t="str">
            <v>VL</v>
          </cell>
          <cell r="G334" t="str">
            <v>m</v>
          </cell>
          <cell r="H334">
            <v>0.5</v>
          </cell>
          <cell r="I334">
            <v>50000</v>
          </cell>
          <cell r="J334">
            <v>25000</v>
          </cell>
          <cell r="K334" t="str">
            <v/>
          </cell>
          <cell r="L334" t="str">
            <v/>
          </cell>
        </row>
        <row r="335">
          <cell r="C335" t="str">
            <v/>
          </cell>
          <cell r="E335" t="str">
            <v>Vật liệu khác</v>
          </cell>
          <cell r="F335" t="str">
            <v>VL</v>
          </cell>
          <cell r="G335" t="str">
            <v>%</v>
          </cell>
          <cell r="H335">
            <v>10</v>
          </cell>
          <cell r="I335">
            <v>0</v>
          </cell>
          <cell r="J335">
            <v>0</v>
          </cell>
          <cell r="K335" t="str">
            <v/>
          </cell>
          <cell r="L335" t="str">
            <v/>
          </cell>
        </row>
        <row r="336">
          <cell r="C336" t="str">
            <v/>
          </cell>
          <cell r="E336" t="str">
            <v>Nhân công bậc: 4/7</v>
          </cell>
          <cell r="F336" t="str">
            <v>NC</v>
          </cell>
          <cell r="G336" t="str">
            <v>Công</v>
          </cell>
          <cell r="H336">
            <v>4.85</v>
          </cell>
          <cell r="I336">
            <v>250241.53846153847</v>
          </cell>
          <cell r="J336" t="str">
            <v/>
          </cell>
          <cell r="K336">
            <v>1213671.4615384615</v>
          </cell>
          <cell r="L336" t="str">
            <v/>
          </cell>
        </row>
        <row r="337">
          <cell r="C337" t="str">
            <v/>
          </cell>
          <cell r="E337" t="str">
            <v>Theo 020</v>
          </cell>
          <cell r="F337" t="str">
            <v>M</v>
          </cell>
          <cell r="G337" t="str">
            <v>Ca</v>
          </cell>
          <cell r="H337">
            <v>0.53</v>
          </cell>
          <cell r="I337">
            <v>11007</v>
          </cell>
          <cell r="J337" t="str">
            <v/>
          </cell>
          <cell r="K337" t="str">
            <v/>
          </cell>
          <cell r="L337">
            <v>5833.71</v>
          </cell>
        </row>
        <row r="338">
          <cell r="C338" t="str">
            <v/>
          </cell>
          <cell r="E338" t="str">
            <v>Ni 030</v>
          </cell>
          <cell r="F338" t="str">
            <v>M</v>
          </cell>
          <cell r="G338" t="str">
            <v>Ca</v>
          </cell>
          <cell r="H338">
            <v>0.2</v>
          </cell>
          <cell r="I338">
            <v>5902</v>
          </cell>
          <cell r="J338" t="str">
            <v/>
          </cell>
          <cell r="K338" t="str">
            <v/>
          </cell>
          <cell r="L338">
            <v>1180.4</v>
          </cell>
        </row>
        <row r="339">
          <cell r="C339" t="str">
            <v/>
          </cell>
          <cell r="E339" t="str">
            <v>Máy khác</v>
          </cell>
          <cell r="F339" t="str">
            <v>M</v>
          </cell>
          <cell r="G339" t="str">
            <v>%</v>
          </cell>
          <cell r="H339">
            <v>5</v>
          </cell>
          <cell r="I339">
            <v>0</v>
          </cell>
          <cell r="J339" t="str">
            <v/>
          </cell>
          <cell r="K339" t="str">
            <v/>
          </cell>
          <cell r="L339">
            <v>0</v>
          </cell>
        </row>
        <row r="340">
          <cell r="C340" t="str">
            <v/>
          </cell>
          <cell r="E340" t="str">
            <v>Công chi phí trực tiếp</v>
          </cell>
          <cell r="F340" t="str">
            <v>C</v>
          </cell>
          <cell r="G340" t="str">
            <v>VNĐ</v>
          </cell>
          <cell r="H340">
            <v>1</v>
          </cell>
          <cell r="I340">
            <v>0</v>
          </cell>
        </row>
        <row r="341">
          <cell r="C341" t="str">
            <v/>
          </cell>
          <cell r="E341" t="str">
            <v>Chi phí chung</v>
          </cell>
          <cell r="F341" t="str">
            <v>P</v>
          </cell>
          <cell r="G341" t="str">
            <v>VNĐ</v>
          </cell>
          <cell r="H341">
            <v>0.7</v>
          </cell>
          <cell r="I341">
            <v>0</v>
          </cell>
        </row>
        <row r="342">
          <cell r="C342" t="str">
            <v/>
          </cell>
          <cell r="E342" t="str">
            <v>Thu nhập chịu thuế tính trước</v>
          </cell>
          <cell r="F342" t="str">
            <v>TL</v>
          </cell>
          <cell r="G342" t="str">
            <v>VNĐ</v>
          </cell>
          <cell r="H342">
            <v>0.055</v>
          </cell>
          <cell r="I342">
            <v>0</v>
          </cell>
        </row>
        <row r="343">
          <cell r="C343" t="str">
            <v/>
          </cell>
          <cell r="E343" t="str">
            <v>Chi phí lập phương án, báo cáo kết quả khảo sát</v>
          </cell>
          <cell r="F343" t="str">
            <v>D</v>
          </cell>
          <cell r="G343" t="str">
            <v>VNĐ</v>
          </cell>
          <cell r="H343">
            <v>0.05</v>
          </cell>
          <cell r="I343">
            <v>0</v>
          </cell>
        </row>
        <row r="344">
          <cell r="C344" t="str">
            <v/>
          </cell>
          <cell r="E344" t="str">
            <v>Chi phí chổ ở tạm thời</v>
          </cell>
          <cell r="F344" t="str">
            <v>LT</v>
          </cell>
          <cell r="G344" t="str">
            <v>VNĐ</v>
          </cell>
          <cell r="H344">
            <v>0.05</v>
          </cell>
          <cell r="I344">
            <v>0</v>
          </cell>
        </row>
        <row r="345">
          <cell r="C345" t="str">
            <v/>
          </cell>
          <cell r="E345" t="str">
            <v>Chi phí xây dựng trước thuế</v>
          </cell>
          <cell r="F345" t="str">
            <v>G</v>
          </cell>
          <cell r="G345" t="str">
            <v>VNĐ</v>
          </cell>
          <cell r="H345">
            <v>1</v>
          </cell>
          <cell r="I345">
            <v>0</v>
          </cell>
        </row>
        <row r="346">
          <cell r="C346" t="str">
            <v/>
          </cell>
          <cell r="E346" t="str">
            <v>Thuế giá trị gia tăng </v>
          </cell>
          <cell r="F346" t="str">
            <v>VAT</v>
          </cell>
          <cell r="G346" t="str">
            <v>VNĐ</v>
          </cell>
          <cell r="H346">
            <v>0.1</v>
          </cell>
          <cell r="I346">
            <v>0</v>
          </cell>
        </row>
        <row r="347">
          <cell r="C347" t="str">
            <v/>
          </cell>
          <cell r="E347" t="str">
            <v>Chi phí xây dựng tổng cộng</v>
          </cell>
          <cell r="F347" t="str">
            <v>GXD</v>
          </cell>
          <cell r="G347" t="str">
            <v>VNĐ</v>
          </cell>
          <cell r="H347" t="str">
            <v>G + VAT</v>
          </cell>
        </row>
        <row r="348">
          <cell r="C348">
            <v>24</v>
          </cell>
          <cell r="D348" t="str">
            <v>CM.02203</v>
          </cell>
          <cell r="E348" t="str">
            <v>Bản đồ tỷ lệ 1/500 đồng mức 1m, địa hình Cấp III</v>
          </cell>
          <cell r="F348" t="str">
            <v/>
          </cell>
          <cell r="G348" t="str">
            <v>ha</v>
          </cell>
          <cell r="I348" t="str">
            <v/>
          </cell>
          <cell r="J348">
            <v>0</v>
          </cell>
          <cell r="K348">
            <v>0</v>
          </cell>
          <cell r="L348">
            <v>0</v>
          </cell>
        </row>
        <row r="349">
          <cell r="C349" t="str">
            <v/>
          </cell>
          <cell r="E349" t="str">
            <v>Cọc gỗ 4x4x30</v>
          </cell>
          <cell r="F349" t="str">
            <v>VL</v>
          </cell>
          <cell r="G349" t="str">
            <v>cọc</v>
          </cell>
          <cell r="H349">
            <v>3</v>
          </cell>
          <cell r="I349">
            <v>4000</v>
          </cell>
          <cell r="J349">
            <v>12000</v>
          </cell>
          <cell r="K349" t="str">
            <v/>
          </cell>
          <cell r="L349" t="str">
            <v/>
          </cell>
        </row>
        <row r="350">
          <cell r="C350" t="str">
            <v/>
          </cell>
          <cell r="E350" t="str">
            <v>Sổ đo</v>
          </cell>
          <cell r="F350" t="str">
            <v>VL</v>
          </cell>
          <cell r="G350" t="str">
            <v>quyển</v>
          </cell>
          <cell r="H350">
            <v>0.7</v>
          </cell>
          <cell r="I350">
            <v>6500</v>
          </cell>
          <cell r="J350">
            <v>4550</v>
          </cell>
          <cell r="K350" t="str">
            <v/>
          </cell>
          <cell r="L350" t="str">
            <v/>
          </cell>
        </row>
        <row r="351">
          <cell r="C351" t="str">
            <v/>
          </cell>
          <cell r="E351" t="str">
            <v>Giấy vẽ bản đồ (50x50)</v>
          </cell>
          <cell r="F351" t="str">
            <v>VL</v>
          </cell>
          <cell r="G351" t="str">
            <v>tờ</v>
          </cell>
          <cell r="H351">
            <v>0.18</v>
          </cell>
          <cell r="I351">
            <v>2000</v>
          </cell>
          <cell r="J351">
            <v>360</v>
          </cell>
          <cell r="K351" t="str">
            <v/>
          </cell>
          <cell r="L351" t="str">
            <v/>
          </cell>
        </row>
        <row r="352">
          <cell r="C352" t="str">
            <v/>
          </cell>
          <cell r="E352" t="str">
            <v>Bản gỗ 60x60</v>
          </cell>
          <cell r="F352" t="str">
            <v>VL</v>
          </cell>
          <cell r="G352" t="str">
            <v>cái</v>
          </cell>
          <cell r="H352">
            <v>0.16</v>
          </cell>
          <cell r="I352">
            <v>20000</v>
          </cell>
          <cell r="J352">
            <v>3200</v>
          </cell>
          <cell r="K352" t="str">
            <v/>
          </cell>
          <cell r="L352" t="str">
            <v/>
          </cell>
        </row>
        <row r="353">
          <cell r="C353" t="str">
            <v/>
          </cell>
          <cell r="E353" t="str">
            <v>Vật liệu khác</v>
          </cell>
          <cell r="F353" t="str">
            <v>VL</v>
          </cell>
          <cell r="G353" t="str">
            <v>%</v>
          </cell>
          <cell r="H353">
            <v>15</v>
          </cell>
          <cell r="I353">
            <v>0</v>
          </cell>
          <cell r="J353">
            <v>0</v>
          </cell>
          <cell r="K353" t="str">
            <v/>
          </cell>
          <cell r="L353" t="str">
            <v/>
          </cell>
        </row>
        <row r="354">
          <cell r="C354" t="str">
            <v/>
          </cell>
          <cell r="E354" t="str">
            <v>Nhân công bậc: 4/7</v>
          </cell>
          <cell r="F354" t="str">
            <v>NC</v>
          </cell>
          <cell r="G354" t="str">
            <v>Công</v>
          </cell>
          <cell r="H354">
            <v>11.3</v>
          </cell>
          <cell r="I354">
            <v>250241.53846153847</v>
          </cell>
          <cell r="J354" t="str">
            <v/>
          </cell>
          <cell r="K354">
            <v>2827729.384615385</v>
          </cell>
          <cell r="L354" t="str">
            <v/>
          </cell>
        </row>
        <row r="355">
          <cell r="C355" t="str">
            <v/>
          </cell>
          <cell r="E355" t="str">
            <v>Theo 020</v>
          </cell>
          <cell r="F355" t="str">
            <v>M</v>
          </cell>
          <cell r="G355" t="str">
            <v>Ca</v>
          </cell>
          <cell r="H355">
            <v>0.4</v>
          </cell>
          <cell r="I355">
            <v>11007</v>
          </cell>
          <cell r="J355" t="str">
            <v/>
          </cell>
          <cell r="K355" t="str">
            <v/>
          </cell>
          <cell r="L355">
            <v>4402.8</v>
          </cell>
        </row>
        <row r="356">
          <cell r="C356" t="str">
            <v/>
          </cell>
          <cell r="E356" t="str">
            <v>Ni 030</v>
          </cell>
          <cell r="F356" t="str">
            <v>M</v>
          </cell>
          <cell r="G356" t="str">
            <v>Ca</v>
          </cell>
          <cell r="H356">
            <v>0.05</v>
          </cell>
          <cell r="I356">
            <v>5902</v>
          </cell>
          <cell r="J356" t="str">
            <v/>
          </cell>
          <cell r="K356" t="str">
            <v/>
          </cell>
          <cell r="L356">
            <v>295.1</v>
          </cell>
        </row>
        <row r="357">
          <cell r="C357" t="str">
            <v/>
          </cell>
          <cell r="E357" t="str">
            <v>Dalta 020</v>
          </cell>
          <cell r="F357" t="str">
            <v>M</v>
          </cell>
          <cell r="G357" t="str">
            <v>Ca</v>
          </cell>
          <cell r="H357">
            <v>0.81</v>
          </cell>
          <cell r="I357">
            <v>15300</v>
          </cell>
          <cell r="J357" t="str">
            <v/>
          </cell>
          <cell r="K357" t="str">
            <v/>
          </cell>
          <cell r="L357">
            <v>12393</v>
          </cell>
        </row>
        <row r="358">
          <cell r="C358" t="str">
            <v/>
          </cell>
          <cell r="E358" t="str">
            <v>Bộ đo Mia bala</v>
          </cell>
          <cell r="F358" t="str">
            <v>M</v>
          </cell>
          <cell r="G358" t="str">
            <v>Ca</v>
          </cell>
          <cell r="H358">
            <v>0.38</v>
          </cell>
          <cell r="I358">
            <v>1107</v>
          </cell>
          <cell r="J358" t="str">
            <v/>
          </cell>
          <cell r="K358" t="str">
            <v/>
          </cell>
          <cell r="L358">
            <v>420.66</v>
          </cell>
        </row>
        <row r="359">
          <cell r="C359" t="str">
            <v/>
          </cell>
          <cell r="E359" t="str">
            <v>Máy khác</v>
          </cell>
          <cell r="F359" t="str">
            <v>M</v>
          </cell>
          <cell r="G359" t="str">
            <v>%</v>
          </cell>
          <cell r="H359">
            <v>5</v>
          </cell>
          <cell r="I359">
            <v>0</v>
          </cell>
          <cell r="J359" t="str">
            <v/>
          </cell>
          <cell r="K359" t="str">
            <v/>
          </cell>
          <cell r="L359">
            <v>0</v>
          </cell>
        </row>
        <row r="360">
          <cell r="C360" t="str">
            <v/>
          </cell>
          <cell r="E360" t="str">
            <v>Công chi phí trực tiếp</v>
          </cell>
          <cell r="F360" t="str">
            <v>C</v>
          </cell>
          <cell r="G360" t="str">
            <v>VNĐ</v>
          </cell>
          <cell r="H360">
            <v>1</v>
          </cell>
          <cell r="I360">
            <v>0</v>
          </cell>
        </row>
        <row r="361">
          <cell r="C361" t="str">
            <v/>
          </cell>
          <cell r="E361" t="str">
            <v>Chi phí chung</v>
          </cell>
          <cell r="F361" t="str">
            <v>P</v>
          </cell>
          <cell r="G361" t="str">
            <v>VNĐ</v>
          </cell>
          <cell r="H361">
            <v>0.7</v>
          </cell>
          <cell r="I361">
            <v>0</v>
          </cell>
        </row>
        <row r="362">
          <cell r="C362" t="str">
            <v/>
          </cell>
          <cell r="E362" t="str">
            <v>Thu nhập chịu thuế tính trước</v>
          </cell>
          <cell r="F362" t="str">
            <v>TL</v>
          </cell>
          <cell r="G362" t="str">
            <v>VNĐ</v>
          </cell>
          <cell r="H362">
            <v>0.055</v>
          </cell>
          <cell r="I362">
            <v>0</v>
          </cell>
        </row>
        <row r="363">
          <cell r="C363" t="str">
            <v/>
          </cell>
          <cell r="E363" t="str">
            <v>Chi phí lập phương án, báo cáo kết quả khảo sát</v>
          </cell>
          <cell r="F363" t="str">
            <v>D</v>
          </cell>
          <cell r="G363" t="str">
            <v>VNĐ</v>
          </cell>
          <cell r="H363">
            <v>0.05</v>
          </cell>
          <cell r="I363">
            <v>0</v>
          </cell>
        </row>
        <row r="364">
          <cell r="C364" t="str">
            <v/>
          </cell>
          <cell r="E364" t="str">
            <v>Chi phí chổ ở tạm thời</v>
          </cell>
          <cell r="F364" t="str">
            <v>LT</v>
          </cell>
          <cell r="G364" t="str">
            <v>VNĐ</v>
          </cell>
          <cell r="H364">
            <v>0.05</v>
          </cell>
          <cell r="I364">
            <v>0</v>
          </cell>
        </row>
        <row r="365">
          <cell r="C365" t="str">
            <v/>
          </cell>
          <cell r="E365" t="str">
            <v>Chi phí xây dựng trước thuế</v>
          </cell>
          <cell r="F365" t="str">
            <v>G</v>
          </cell>
          <cell r="G365" t="str">
            <v>VNĐ</v>
          </cell>
          <cell r="H365">
            <v>1</v>
          </cell>
          <cell r="I365">
            <v>0</v>
          </cell>
        </row>
        <row r="366">
          <cell r="C366" t="str">
            <v/>
          </cell>
          <cell r="E366" t="str">
            <v>Thuế giá trị gia tăng </v>
          </cell>
          <cell r="F366" t="str">
            <v>VAT</v>
          </cell>
          <cell r="G366" t="str">
            <v>VNĐ</v>
          </cell>
          <cell r="H366">
            <v>0.1</v>
          </cell>
          <cell r="I366">
            <v>0</v>
          </cell>
        </row>
        <row r="367">
          <cell r="C367" t="str">
            <v/>
          </cell>
          <cell r="E367" t="str">
            <v>Chi phí xây dựng tổng cộng</v>
          </cell>
          <cell r="F367" t="str">
            <v>GXD</v>
          </cell>
          <cell r="G367" t="str">
            <v>VNĐ</v>
          </cell>
          <cell r="H367" t="str">
            <v>G + VAT</v>
          </cell>
        </row>
        <row r="368">
          <cell r="C368">
            <v>25</v>
          </cell>
          <cell r="D368" t="str">
            <v>PT</v>
          </cell>
          <cell r="E368" t="str">
            <v>Định vị vị trí đào lỗ chôn mốc bằng cọc tre</v>
          </cell>
          <cell r="F368" t="str">
            <v/>
          </cell>
          <cell r="G368" t="str">
            <v>Điểm</v>
          </cell>
          <cell r="I368" t="str">
            <v/>
          </cell>
          <cell r="J368">
            <v>0</v>
          </cell>
          <cell r="K368">
            <v>0</v>
          </cell>
          <cell r="L368">
            <v>0</v>
          </cell>
        </row>
        <row r="369">
          <cell r="C369" t="str">
            <v/>
          </cell>
          <cell r="E369" t="str">
            <v>Cọc tre</v>
          </cell>
          <cell r="F369" t="str">
            <v>VL</v>
          </cell>
          <cell r="G369" t="str">
            <v>cọc</v>
          </cell>
          <cell r="H369">
            <v>1</v>
          </cell>
          <cell r="I369">
            <v>1250</v>
          </cell>
          <cell r="J369">
            <v>1250</v>
          </cell>
          <cell r="K369" t="str">
            <v/>
          </cell>
          <cell r="L369" t="str">
            <v/>
          </cell>
        </row>
        <row r="370">
          <cell r="C370" t="str">
            <v/>
          </cell>
          <cell r="E370" t="str">
            <v>Sơn trắng &amp; đỏ</v>
          </cell>
          <cell r="F370" t="str">
            <v>VL</v>
          </cell>
          <cell r="G370" t="str">
            <v>Kg</v>
          </cell>
          <cell r="H370">
            <v>0.02</v>
          </cell>
          <cell r="I370">
            <v>13020</v>
          </cell>
          <cell r="J370">
            <v>260.4</v>
          </cell>
          <cell r="K370" t="str">
            <v/>
          </cell>
          <cell r="L370" t="str">
            <v/>
          </cell>
        </row>
        <row r="371">
          <cell r="C371" t="str">
            <v/>
          </cell>
          <cell r="E371" t="str">
            <v>Sổ đo</v>
          </cell>
          <cell r="F371" t="str">
            <v>VL</v>
          </cell>
          <cell r="G371" t="str">
            <v>quyển</v>
          </cell>
          <cell r="H371">
            <v>0.2</v>
          </cell>
          <cell r="I371">
            <v>6500</v>
          </cell>
          <cell r="J371">
            <v>1300</v>
          </cell>
          <cell r="K371" t="str">
            <v/>
          </cell>
          <cell r="L371" t="str">
            <v/>
          </cell>
        </row>
        <row r="372">
          <cell r="C372" t="str">
            <v/>
          </cell>
          <cell r="E372" t="str">
            <v>Vật liệu khác</v>
          </cell>
          <cell r="F372" t="str">
            <v>VL</v>
          </cell>
          <cell r="G372" t="str">
            <v>%</v>
          </cell>
          <cell r="H372">
            <v>0.5</v>
          </cell>
          <cell r="I372">
            <v>0</v>
          </cell>
          <cell r="J372">
            <v>0</v>
          </cell>
          <cell r="K372" t="str">
            <v/>
          </cell>
          <cell r="L372" t="str">
            <v/>
          </cell>
        </row>
        <row r="373">
          <cell r="C373" t="str">
            <v/>
          </cell>
          <cell r="E373" t="str">
            <v>Nhân công bậc: 4/7</v>
          </cell>
          <cell r="F373" t="str">
            <v>NC</v>
          </cell>
          <cell r="G373" t="str">
            <v>Công</v>
          </cell>
          <cell r="H373">
            <v>0.02</v>
          </cell>
          <cell r="I373">
            <v>250241.53846153847</v>
          </cell>
          <cell r="J373" t="str">
            <v/>
          </cell>
          <cell r="K373">
            <v>5004.83076923077</v>
          </cell>
          <cell r="L373" t="str">
            <v/>
          </cell>
        </row>
        <row r="374">
          <cell r="C374" t="str">
            <v/>
          </cell>
          <cell r="E374" t="str">
            <v>Theo 020</v>
          </cell>
          <cell r="F374" t="str">
            <v>M</v>
          </cell>
          <cell r="G374" t="str">
            <v>Ca</v>
          </cell>
          <cell r="H374">
            <v>0.025</v>
          </cell>
          <cell r="I374">
            <v>11007</v>
          </cell>
          <cell r="J374" t="str">
            <v/>
          </cell>
          <cell r="K374" t="str">
            <v/>
          </cell>
          <cell r="L374">
            <v>275.175</v>
          </cell>
        </row>
        <row r="375">
          <cell r="C375" t="str">
            <v/>
          </cell>
          <cell r="E375" t="str">
            <v>Đitomát</v>
          </cell>
          <cell r="F375" t="str">
            <v>M</v>
          </cell>
          <cell r="G375" t="str">
            <v>Ca</v>
          </cell>
          <cell r="H375">
            <v>0.012</v>
          </cell>
          <cell r="I375">
            <v>41022</v>
          </cell>
          <cell r="J375" t="str">
            <v/>
          </cell>
          <cell r="K375" t="str">
            <v/>
          </cell>
          <cell r="L375">
            <v>492.264</v>
          </cell>
        </row>
        <row r="376">
          <cell r="C376" t="str">
            <v/>
          </cell>
          <cell r="E376" t="str">
            <v>Máy khác</v>
          </cell>
          <cell r="F376" t="str">
            <v>M</v>
          </cell>
          <cell r="G376" t="str">
            <v>%</v>
          </cell>
          <cell r="H376">
            <v>2</v>
          </cell>
          <cell r="I376">
            <v>0</v>
          </cell>
          <cell r="J376" t="str">
            <v/>
          </cell>
          <cell r="K376" t="str">
            <v/>
          </cell>
          <cell r="L376">
            <v>0</v>
          </cell>
        </row>
        <row r="377">
          <cell r="C377" t="str">
            <v/>
          </cell>
          <cell r="E377" t="str">
            <v>Công chi phí trực tiếp</v>
          </cell>
          <cell r="F377" t="str">
            <v>C</v>
          </cell>
          <cell r="G377" t="str">
            <v>VNĐ</v>
          </cell>
          <cell r="H377">
            <v>1</v>
          </cell>
          <cell r="I377">
            <v>0</v>
          </cell>
        </row>
        <row r="378">
          <cell r="C378" t="str">
            <v/>
          </cell>
          <cell r="E378" t="str">
            <v>Chi phí chung</v>
          </cell>
          <cell r="F378" t="str">
            <v>P</v>
          </cell>
          <cell r="G378" t="str">
            <v>VNĐ</v>
          </cell>
          <cell r="H378">
            <v>0.7</v>
          </cell>
          <cell r="I378">
            <v>0</v>
          </cell>
        </row>
        <row r="379">
          <cell r="C379" t="str">
            <v/>
          </cell>
          <cell r="E379" t="str">
            <v>Thu nhập chịu thuế tính trước</v>
          </cell>
          <cell r="F379" t="str">
            <v>TL</v>
          </cell>
          <cell r="G379" t="str">
            <v>VNĐ</v>
          </cell>
          <cell r="H379">
            <v>0.055</v>
          </cell>
          <cell r="I379">
            <v>0</v>
          </cell>
        </row>
        <row r="380">
          <cell r="C380" t="str">
            <v/>
          </cell>
          <cell r="E380" t="str">
            <v>Chi phí lập phương án, báo cáo kết quả khảo sát</v>
          </cell>
          <cell r="F380" t="str">
            <v>D</v>
          </cell>
          <cell r="G380" t="str">
            <v>VNĐ</v>
          </cell>
          <cell r="H380">
            <v>0.05</v>
          </cell>
          <cell r="I380">
            <v>0</v>
          </cell>
        </row>
        <row r="381">
          <cell r="C381" t="str">
            <v/>
          </cell>
          <cell r="E381" t="str">
            <v>Chi phí chổ ở tạm thời</v>
          </cell>
          <cell r="F381" t="str">
            <v>LT</v>
          </cell>
          <cell r="G381" t="str">
            <v>VNĐ</v>
          </cell>
          <cell r="H381">
            <v>0.05</v>
          </cell>
          <cell r="I381">
            <v>0</v>
          </cell>
        </row>
        <row r="382">
          <cell r="C382" t="str">
            <v/>
          </cell>
          <cell r="E382" t="str">
            <v>Chi phí xây dựng trước thuế</v>
          </cell>
          <cell r="F382" t="str">
            <v>G</v>
          </cell>
          <cell r="G382" t="str">
            <v>VNĐ</v>
          </cell>
          <cell r="H382">
            <v>1</v>
          </cell>
          <cell r="I382">
            <v>0</v>
          </cell>
        </row>
        <row r="383">
          <cell r="C383" t="str">
            <v/>
          </cell>
          <cell r="E383" t="str">
            <v>Thuế giá trị gia tăng </v>
          </cell>
          <cell r="F383" t="str">
            <v>VAT</v>
          </cell>
          <cell r="G383" t="str">
            <v>VNĐ</v>
          </cell>
          <cell r="H383">
            <v>0.1</v>
          </cell>
          <cell r="I383">
            <v>0</v>
          </cell>
        </row>
        <row r="384">
          <cell r="C384" t="str">
            <v/>
          </cell>
          <cell r="E384" t="str">
            <v>Chi phí xây dựng tổng cộng</v>
          </cell>
          <cell r="F384" t="str">
            <v>GXD</v>
          </cell>
          <cell r="G384" t="str">
            <v>VNĐ</v>
          </cell>
          <cell r="H384" t="str">
            <v>G + VAT</v>
          </cell>
        </row>
        <row r="385">
          <cell r="C385">
            <v>26</v>
          </cell>
          <cell r="D385" t="str">
            <v>PT</v>
          </cell>
          <cell r="E385" t="str">
            <v>Nghiệm thu, bàn giao cọc phân lô</v>
          </cell>
          <cell r="G385" t="str">
            <v>Công</v>
          </cell>
          <cell r="I385" t="str">
            <v/>
          </cell>
          <cell r="J385">
            <v>0</v>
          </cell>
          <cell r="K385">
            <v>0</v>
          </cell>
          <cell r="L385">
            <v>0</v>
          </cell>
        </row>
        <row r="386">
          <cell r="C386" t="str">
            <v/>
          </cell>
          <cell r="E386" t="str">
            <v>Nhân công bậc: 4/7</v>
          </cell>
          <cell r="F386" t="str">
            <v>NC</v>
          </cell>
          <cell r="G386" t="str">
            <v>Công</v>
          </cell>
          <cell r="H386">
            <v>1</v>
          </cell>
          <cell r="I386">
            <v>250241.53846153847</v>
          </cell>
          <cell r="J386" t="str">
            <v/>
          </cell>
          <cell r="K386">
            <v>250241.53846153847</v>
          </cell>
          <cell r="L386" t="str">
            <v/>
          </cell>
        </row>
        <row r="387">
          <cell r="C387" t="str">
            <v/>
          </cell>
          <cell r="E387" t="str">
            <v>Công chi phí trực tiếp</v>
          </cell>
          <cell r="F387" t="str">
            <v>C</v>
          </cell>
          <cell r="G387" t="str">
            <v>VNĐ</v>
          </cell>
          <cell r="H387">
            <v>1</v>
          </cell>
          <cell r="I387">
            <v>0</v>
          </cell>
        </row>
        <row r="388">
          <cell r="C388" t="str">
            <v/>
          </cell>
          <cell r="E388" t="str">
            <v>Chi phí chung</v>
          </cell>
          <cell r="F388" t="str">
            <v>P</v>
          </cell>
          <cell r="G388" t="str">
            <v>VNĐ</v>
          </cell>
          <cell r="H388">
            <v>0.7</v>
          </cell>
          <cell r="I388">
            <v>0</v>
          </cell>
        </row>
        <row r="389">
          <cell r="C389" t="str">
            <v/>
          </cell>
          <cell r="E389" t="str">
            <v>Thu nhập chịu thuế tính trước</v>
          </cell>
          <cell r="F389" t="str">
            <v>TL</v>
          </cell>
          <cell r="G389" t="str">
            <v>VNĐ</v>
          </cell>
          <cell r="H389">
            <v>0.055</v>
          </cell>
          <cell r="I389">
            <v>0</v>
          </cell>
        </row>
        <row r="390">
          <cell r="C390" t="str">
            <v/>
          </cell>
          <cell r="E390" t="str">
            <v>Chi phí lập phương án, báo cáo kết quả khảo sát</v>
          </cell>
          <cell r="F390" t="str">
            <v>D</v>
          </cell>
          <cell r="G390" t="str">
            <v>VNĐ</v>
          </cell>
          <cell r="H390">
            <v>0.05</v>
          </cell>
          <cell r="I390">
            <v>0</v>
          </cell>
        </row>
        <row r="391">
          <cell r="C391" t="str">
            <v/>
          </cell>
          <cell r="E391" t="str">
            <v>Chi phí chổ ở tạm thời</v>
          </cell>
          <cell r="F391" t="str">
            <v>LT</v>
          </cell>
          <cell r="G391" t="str">
            <v>VNĐ</v>
          </cell>
          <cell r="H391">
            <v>0.05</v>
          </cell>
          <cell r="I391">
            <v>0</v>
          </cell>
        </row>
        <row r="392">
          <cell r="C392" t="str">
            <v/>
          </cell>
          <cell r="E392" t="str">
            <v>Chi phí xây dựng trước thuế</v>
          </cell>
          <cell r="F392" t="str">
            <v>G</v>
          </cell>
          <cell r="G392" t="str">
            <v>VNĐ</v>
          </cell>
          <cell r="H392">
            <v>1</v>
          </cell>
          <cell r="I392">
            <v>0</v>
          </cell>
        </row>
        <row r="393">
          <cell r="C393" t="str">
            <v/>
          </cell>
          <cell r="E393" t="str">
            <v>Thuế giá trị gia tăng </v>
          </cell>
          <cell r="F393" t="str">
            <v>VAT</v>
          </cell>
          <cell r="G393" t="str">
            <v>VNĐ</v>
          </cell>
          <cell r="H393">
            <v>0.1</v>
          </cell>
          <cell r="I393">
            <v>0</v>
          </cell>
        </row>
        <row r="394">
          <cell r="C394" t="str">
            <v/>
          </cell>
          <cell r="E394" t="str">
            <v>Chi phí xây dựng tổng cộng</v>
          </cell>
          <cell r="F394" t="str">
            <v>GXD</v>
          </cell>
          <cell r="G394" t="str">
            <v>VNĐ</v>
          </cell>
          <cell r="H394" t="str">
            <v>G + VAT</v>
          </cell>
        </row>
        <row r="395">
          <cell r="C395">
            <v>27</v>
          </cell>
          <cell r="D395" t="str">
            <v>PT6</v>
          </cell>
          <cell r="E395" t="str">
            <v>Nhận mặt bằng công trình</v>
          </cell>
          <cell r="G395" t="str">
            <v>Công</v>
          </cell>
          <cell r="I395" t="str">
            <v/>
          </cell>
          <cell r="J395">
            <v>0</v>
          </cell>
          <cell r="K395">
            <v>0</v>
          </cell>
          <cell r="L395">
            <v>0</v>
          </cell>
        </row>
        <row r="396">
          <cell r="C396" t="str">
            <v/>
          </cell>
          <cell r="E396" t="str">
            <v>Nhân công bậc: 4/7</v>
          </cell>
          <cell r="F396" t="str">
            <v>NC</v>
          </cell>
          <cell r="G396" t="str">
            <v>Công</v>
          </cell>
          <cell r="H396">
            <v>1</v>
          </cell>
          <cell r="I396">
            <v>250241.53846153847</v>
          </cell>
          <cell r="J396" t="str">
            <v/>
          </cell>
          <cell r="K396">
            <v>250241.53846153847</v>
          </cell>
          <cell r="L396" t="str">
            <v/>
          </cell>
        </row>
        <row r="397">
          <cell r="C397" t="str">
            <v/>
          </cell>
          <cell r="E397" t="str">
            <v>Công chi phí trực tiếp</v>
          </cell>
          <cell r="F397" t="str">
            <v>C</v>
          </cell>
          <cell r="G397" t="str">
            <v>VNĐ</v>
          </cell>
          <cell r="H397">
            <v>1</v>
          </cell>
          <cell r="I397">
            <v>0</v>
          </cell>
        </row>
        <row r="398">
          <cell r="C398" t="str">
            <v/>
          </cell>
          <cell r="E398" t="str">
            <v>Chi phí chung</v>
          </cell>
          <cell r="F398" t="str">
            <v>P</v>
          </cell>
          <cell r="G398" t="str">
            <v>VNĐ</v>
          </cell>
          <cell r="H398">
            <v>0.7</v>
          </cell>
          <cell r="I398">
            <v>0</v>
          </cell>
        </row>
        <row r="399">
          <cell r="C399" t="str">
            <v/>
          </cell>
          <cell r="E399" t="str">
            <v>Thu nhập chịu thuế tính trước</v>
          </cell>
          <cell r="F399" t="str">
            <v>TL</v>
          </cell>
          <cell r="G399" t="str">
            <v>VNĐ</v>
          </cell>
          <cell r="H399">
            <v>0.055</v>
          </cell>
          <cell r="I399">
            <v>0</v>
          </cell>
        </row>
        <row r="400">
          <cell r="C400" t="str">
            <v/>
          </cell>
          <cell r="E400" t="str">
            <v>Chi phí lập phương án, báo cáo kết quả khảo sát</v>
          </cell>
          <cell r="F400" t="str">
            <v>D</v>
          </cell>
          <cell r="G400" t="str">
            <v>VNĐ</v>
          </cell>
          <cell r="H400">
            <v>0.05</v>
          </cell>
          <cell r="I400">
            <v>0</v>
          </cell>
        </row>
        <row r="401">
          <cell r="C401" t="str">
            <v/>
          </cell>
          <cell r="E401" t="str">
            <v>Chi phí chổ ở tạm thời</v>
          </cell>
          <cell r="F401" t="str">
            <v>LT</v>
          </cell>
          <cell r="G401" t="str">
            <v>VNĐ</v>
          </cell>
          <cell r="H401">
            <v>0.05</v>
          </cell>
          <cell r="I401">
            <v>0</v>
          </cell>
        </row>
        <row r="402">
          <cell r="C402" t="str">
            <v/>
          </cell>
          <cell r="E402" t="str">
            <v>Chi phí xây dựng trước thuế</v>
          </cell>
          <cell r="F402" t="str">
            <v>G</v>
          </cell>
          <cell r="G402" t="str">
            <v>VNĐ</v>
          </cell>
          <cell r="H402">
            <v>1</v>
          </cell>
          <cell r="I402">
            <v>0</v>
          </cell>
        </row>
        <row r="403">
          <cell r="C403" t="str">
            <v/>
          </cell>
          <cell r="E403" t="str">
            <v>Thuế giá trị gia tăng </v>
          </cell>
          <cell r="F403" t="str">
            <v>VAT</v>
          </cell>
          <cell r="G403" t="str">
            <v>VNĐ</v>
          </cell>
          <cell r="H403">
            <v>0.1</v>
          </cell>
          <cell r="I403">
            <v>0</v>
          </cell>
        </row>
        <row r="404">
          <cell r="C404" t="str">
            <v/>
          </cell>
          <cell r="E404" t="str">
            <v>Chi phí xây dựng tổng cộng</v>
          </cell>
          <cell r="F404" t="str">
            <v>GXD</v>
          </cell>
          <cell r="G404" t="str">
            <v>VNĐ</v>
          </cell>
          <cell r="H404" t="str">
            <v>G + VAT</v>
          </cell>
        </row>
        <row r="406">
          <cell r="E406">
            <v>3</v>
          </cell>
          <cell r="F406">
            <v>4</v>
          </cell>
          <cell r="G406">
            <v>4</v>
          </cell>
          <cell r="I40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 so chung"/>
      <sheetName val="LUONGNGAY"/>
      <sheetName val="DUTOAN"/>
      <sheetName val="VATLIEU_DUNCU"/>
      <sheetName val="KHOLUONG"/>
      <sheetName val="NHAN CONG THI DIEM"/>
      <sheetName val="THIETBI"/>
      <sheetName val="DUNGCU"/>
      <sheetName val="ĐM_NHANCONG "/>
      <sheetName val="VLIEU"/>
      <sheetName val="PHIEU"/>
      <sheetName val="TINHVATLIEU"/>
      <sheetName val="Sheet4"/>
      <sheetName val="Sheet3"/>
    </sheetNames>
    <sheetDataSet>
      <sheetData sheetId="6">
        <row r="6">
          <cell r="F6">
            <v>0.01</v>
          </cell>
          <cell r="H6">
            <v>0.05</v>
          </cell>
        </row>
        <row r="7">
          <cell r="E7">
            <v>0.22</v>
          </cell>
        </row>
      </sheetData>
      <sheetData sheetId="7">
        <row r="8">
          <cell r="E8">
            <v>0.07</v>
          </cell>
        </row>
        <row r="9">
          <cell r="E9">
            <v>0.07</v>
          </cell>
        </row>
        <row r="10">
          <cell r="E10">
            <v>0.07</v>
          </cell>
        </row>
        <row r="11">
          <cell r="E11">
            <v>0.07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 toan cam coc"/>
      <sheetName val="THDG SX MOC"/>
      <sheetName val="DGXDCT"/>
      <sheetName val="Bang KL"/>
      <sheetName val="May"/>
      <sheetName val="Bang gia VC"/>
      <sheetName val="Gia goc VL"/>
      <sheetName val="Gia VL-CT"/>
    </sheetNames>
    <sheetDataSet>
      <sheetData sheetId="1">
        <row r="16">
          <cell r="I16">
            <v>28856.30920942176</v>
          </cell>
          <cell r="J16">
            <v>26667.632569260008</v>
          </cell>
          <cell r="K16">
            <v>4865.25309159096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54"/>
  <sheetViews>
    <sheetView workbookViewId="0" topLeftCell="A1">
      <selection activeCell="N9" sqref="N9"/>
    </sheetView>
  </sheetViews>
  <sheetFormatPr defaultColWidth="8.72265625" defaultRowHeight="16.5"/>
  <cols>
    <col min="1" max="1" width="4.90625" style="3" customWidth="1"/>
    <col min="2" max="2" width="15.8125" style="3" customWidth="1"/>
    <col min="3" max="3" width="6.8125" style="3" customWidth="1"/>
    <col min="4" max="4" width="8.99609375" style="3" customWidth="1"/>
    <col min="5" max="5" width="8.54296875" style="3" customWidth="1"/>
    <col min="6" max="6" width="9.453125" style="3" customWidth="1"/>
    <col min="7" max="7" width="9.54296875" style="3" customWidth="1"/>
    <col min="8" max="8" width="9.18359375" style="3" customWidth="1"/>
    <col min="9" max="9" width="10.8125" style="3" customWidth="1"/>
    <col min="10" max="10" width="9.0859375" style="3" customWidth="1"/>
    <col min="11" max="11" width="8.54296875" style="3" customWidth="1"/>
    <col min="12" max="12" width="3.36328125" style="0" customWidth="1"/>
    <col min="13" max="16384" width="8.90625" style="3" customWidth="1"/>
  </cols>
  <sheetData>
    <row r="1" spans="10:11" ht="18" customHeight="1">
      <c r="J1" s="528" t="s">
        <v>231</v>
      </c>
      <c r="K1" s="528"/>
    </row>
    <row r="2" spans="1:11" ht="36.75" customHeight="1">
      <c r="A2" s="527" t="s">
        <v>204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3:12" s="31" customFormat="1" ht="15" customHeight="1">
      <c r="C3" s="32"/>
      <c r="D3" s="32"/>
      <c r="E3" s="32"/>
      <c r="F3" s="32"/>
      <c r="G3" s="32"/>
      <c r="H3" s="32"/>
      <c r="I3" s="33" t="s">
        <v>43</v>
      </c>
      <c r="J3" s="54">
        <f>'He so chung'!D5</f>
        <v>1300000</v>
      </c>
      <c r="K3" s="34" t="s">
        <v>25</v>
      </c>
      <c r="L3" s="35"/>
    </row>
    <row r="4" spans="3:11" ht="5.25" customHeight="1">
      <c r="C4" s="22"/>
      <c r="D4" s="22"/>
      <c r="E4" s="22"/>
      <c r="F4" s="22"/>
      <c r="G4" s="22"/>
      <c r="H4" s="22"/>
      <c r="I4" s="27"/>
      <c r="J4" s="27"/>
      <c r="K4" s="22"/>
    </row>
    <row r="5" spans="1:12" ht="46.5" customHeight="1">
      <c r="A5" s="36" t="s">
        <v>44</v>
      </c>
      <c r="B5" s="36" t="s">
        <v>45</v>
      </c>
      <c r="C5" s="36" t="s">
        <v>46</v>
      </c>
      <c r="D5" s="36" t="s">
        <v>47</v>
      </c>
      <c r="E5" s="36" t="s">
        <v>48</v>
      </c>
      <c r="F5" s="36" t="s">
        <v>49</v>
      </c>
      <c r="G5" s="36" t="s">
        <v>50</v>
      </c>
      <c r="H5" s="36" t="s">
        <v>51</v>
      </c>
      <c r="I5" s="36" t="s">
        <v>202</v>
      </c>
      <c r="J5" s="36" t="s">
        <v>53</v>
      </c>
      <c r="K5" s="36" t="s">
        <v>54</v>
      </c>
      <c r="L5" s="37"/>
    </row>
    <row r="6" spans="1:11" ht="16.5">
      <c r="A6" s="25" t="s">
        <v>1</v>
      </c>
      <c r="B6" s="26" t="s">
        <v>55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16.5">
      <c r="A7" s="24" t="s">
        <v>23</v>
      </c>
      <c r="B7" s="23" t="s">
        <v>22</v>
      </c>
      <c r="C7" s="18"/>
      <c r="D7" s="15"/>
      <c r="E7" s="15"/>
      <c r="F7" s="15"/>
      <c r="G7" s="15"/>
      <c r="H7" s="15"/>
      <c r="I7" s="15"/>
      <c r="J7" s="15"/>
      <c r="K7" s="15"/>
    </row>
    <row r="8" spans="1:12" ht="16.5">
      <c r="A8" s="13"/>
      <c r="B8" s="10" t="s">
        <v>21</v>
      </c>
      <c r="C8" s="10" t="s">
        <v>20</v>
      </c>
      <c r="D8" s="9" t="e">
        <f aca="true" t="shared" si="0" ref="D8:D15">$J$3*C8</f>
        <v>#VALUE!</v>
      </c>
      <c r="E8" s="9" t="e">
        <f>D8*'He so chung'!$D$6/100</f>
        <v>#VALUE!</v>
      </c>
      <c r="F8" s="9">
        <f>$J$3*'He so chung'!$D$7</f>
        <v>520000</v>
      </c>
      <c r="G8" s="9">
        <f>$J$3*'He so chung'!$D$8/5</f>
        <v>52000</v>
      </c>
      <c r="H8" s="9">
        <f>$J$3*'He so chung'!$D$9</f>
        <v>260000</v>
      </c>
      <c r="I8" s="9" t="e">
        <f>D8*'He so chung'!$D$10/100</f>
        <v>#VALUE!</v>
      </c>
      <c r="J8" s="9" t="e">
        <f>D8+E8+F8+G8+H8+I8</f>
        <v>#VALUE!</v>
      </c>
      <c r="K8" s="8" t="e">
        <f>J8/'He so chung'!$D$11</f>
        <v>#VALUE!</v>
      </c>
      <c r="L8" s="38"/>
    </row>
    <row r="9" spans="1:12" ht="16.5">
      <c r="A9" s="13"/>
      <c r="B9" s="10" t="s">
        <v>19</v>
      </c>
      <c r="C9" s="10" t="s">
        <v>26</v>
      </c>
      <c r="D9" s="9" t="e">
        <f t="shared" si="0"/>
        <v>#VALUE!</v>
      </c>
      <c r="E9" s="9" t="e">
        <f>D9*'He so chung'!$D$6/100</f>
        <v>#VALUE!</v>
      </c>
      <c r="F9" s="9">
        <f>$J$3*'He so chung'!$D$7</f>
        <v>520000</v>
      </c>
      <c r="G9" s="9">
        <f>$J$3*'He so chung'!$D$8/5</f>
        <v>52000</v>
      </c>
      <c r="H9" s="9">
        <f>$J$3*'He so chung'!$D$9</f>
        <v>260000</v>
      </c>
      <c r="I9" s="9" t="e">
        <f>D9*'He so chung'!$D$10/100</f>
        <v>#VALUE!</v>
      </c>
      <c r="J9" s="9" t="e">
        <f aca="true" t="shared" si="1" ref="J9:J15">D9+E9+F9+G9+H9+I9</f>
        <v>#VALUE!</v>
      </c>
      <c r="K9" s="8" t="e">
        <f>J9/'He so chung'!$D$11</f>
        <v>#VALUE!</v>
      </c>
      <c r="L9" s="38"/>
    </row>
    <row r="10" spans="1:12" ht="16.5">
      <c r="A10" s="13"/>
      <c r="B10" s="10" t="s">
        <v>5</v>
      </c>
      <c r="C10" s="10" t="s">
        <v>27</v>
      </c>
      <c r="D10" s="9" t="e">
        <f t="shared" si="0"/>
        <v>#VALUE!</v>
      </c>
      <c r="E10" s="9" t="e">
        <f>D10*'He so chung'!$D$6/100</f>
        <v>#VALUE!</v>
      </c>
      <c r="F10" s="9">
        <f>$J$3*'He so chung'!$D$7</f>
        <v>520000</v>
      </c>
      <c r="G10" s="9">
        <f>$J$3*'He so chung'!$D$8/5</f>
        <v>52000</v>
      </c>
      <c r="H10" s="9">
        <f>$J$3*'He so chung'!$D$9</f>
        <v>260000</v>
      </c>
      <c r="I10" s="9" t="e">
        <f>D10*'He so chung'!$D$10/100</f>
        <v>#VALUE!</v>
      </c>
      <c r="J10" s="9" t="e">
        <f t="shared" si="1"/>
        <v>#VALUE!</v>
      </c>
      <c r="K10" s="8" t="e">
        <f>J10/'He so chung'!$D$11</f>
        <v>#VALUE!</v>
      </c>
      <c r="L10" s="38"/>
    </row>
    <row r="11" spans="1:12" ht="16.5">
      <c r="A11" s="13"/>
      <c r="B11" s="10" t="s">
        <v>16</v>
      </c>
      <c r="C11" s="10" t="s">
        <v>28</v>
      </c>
      <c r="D11" s="9" t="e">
        <f t="shared" si="0"/>
        <v>#VALUE!</v>
      </c>
      <c r="E11" s="9" t="e">
        <f>D11*'He so chung'!$D$6/100</f>
        <v>#VALUE!</v>
      </c>
      <c r="F11" s="9">
        <f>$J$3*'He so chung'!$D$7</f>
        <v>520000</v>
      </c>
      <c r="G11" s="9">
        <f>$J$3*'He so chung'!$D$8/5</f>
        <v>52000</v>
      </c>
      <c r="H11" s="9">
        <f>$J$3*'He so chung'!$D$9</f>
        <v>260000</v>
      </c>
      <c r="I11" s="9" t="e">
        <f>D11*'He so chung'!$D$10/100</f>
        <v>#VALUE!</v>
      </c>
      <c r="J11" s="9" t="e">
        <f t="shared" si="1"/>
        <v>#VALUE!</v>
      </c>
      <c r="K11" s="8" t="e">
        <f>J11/'He so chung'!$D$11</f>
        <v>#VALUE!</v>
      </c>
      <c r="L11" s="38"/>
    </row>
    <row r="12" spans="1:12" ht="16.5">
      <c r="A12" s="13"/>
      <c r="B12" s="10" t="s">
        <v>15</v>
      </c>
      <c r="C12" s="10" t="s">
        <v>29</v>
      </c>
      <c r="D12" s="9" t="e">
        <f t="shared" si="0"/>
        <v>#VALUE!</v>
      </c>
      <c r="E12" s="9" t="e">
        <f>D12*'He so chung'!$D$6/100</f>
        <v>#VALUE!</v>
      </c>
      <c r="F12" s="9">
        <f>$J$3*'He so chung'!$D$7</f>
        <v>520000</v>
      </c>
      <c r="G12" s="9">
        <f>$J$3*'He so chung'!$D$8/5</f>
        <v>52000</v>
      </c>
      <c r="H12" s="9">
        <f>$J$3*'He so chung'!$D$9</f>
        <v>260000</v>
      </c>
      <c r="I12" s="9" t="e">
        <f>D12*'He so chung'!$D$10/100</f>
        <v>#VALUE!</v>
      </c>
      <c r="J12" s="9" t="e">
        <f t="shared" si="1"/>
        <v>#VALUE!</v>
      </c>
      <c r="K12" s="8" t="e">
        <f>J12/'He so chung'!$D$11</f>
        <v>#VALUE!</v>
      </c>
      <c r="L12" s="38"/>
    </row>
    <row r="13" spans="1:12" ht="16.5">
      <c r="A13" s="13"/>
      <c r="B13" s="10" t="s">
        <v>14</v>
      </c>
      <c r="C13" s="10" t="s">
        <v>30</v>
      </c>
      <c r="D13" s="9" t="e">
        <f t="shared" si="0"/>
        <v>#VALUE!</v>
      </c>
      <c r="E13" s="9" t="e">
        <f>D13*'He so chung'!$D$6/100</f>
        <v>#VALUE!</v>
      </c>
      <c r="F13" s="9">
        <f>$J$3*'He so chung'!$D$7</f>
        <v>520000</v>
      </c>
      <c r="G13" s="9">
        <f>$J$3*'He so chung'!$D$8/5</f>
        <v>52000</v>
      </c>
      <c r="H13" s="9">
        <f>$J$3*'He so chung'!$D$9</f>
        <v>260000</v>
      </c>
      <c r="I13" s="9" t="e">
        <f>D13*'He so chung'!$D$10/100</f>
        <v>#VALUE!</v>
      </c>
      <c r="J13" s="9" t="e">
        <f t="shared" si="1"/>
        <v>#VALUE!</v>
      </c>
      <c r="K13" s="8" t="e">
        <f>J13/'He so chung'!$D$11</f>
        <v>#VALUE!</v>
      </c>
      <c r="L13" s="38"/>
    </row>
    <row r="14" spans="1:12" ht="16.5">
      <c r="A14" s="13"/>
      <c r="B14" s="10" t="s">
        <v>13</v>
      </c>
      <c r="C14" s="10" t="s">
        <v>31</v>
      </c>
      <c r="D14" s="9" t="e">
        <f t="shared" si="0"/>
        <v>#VALUE!</v>
      </c>
      <c r="E14" s="9" t="e">
        <f>D14*'He so chung'!$D$6/100</f>
        <v>#VALUE!</v>
      </c>
      <c r="F14" s="9">
        <f>$J$3*'He so chung'!$D$7</f>
        <v>520000</v>
      </c>
      <c r="G14" s="9">
        <f>$J$3*'He so chung'!$D$8/5</f>
        <v>52000</v>
      </c>
      <c r="H14" s="9">
        <f>$J$3*'He so chung'!$D$9</f>
        <v>260000</v>
      </c>
      <c r="I14" s="9" t="e">
        <f>D14*'He so chung'!$D$10/100</f>
        <v>#VALUE!</v>
      </c>
      <c r="J14" s="9" t="e">
        <f t="shared" si="1"/>
        <v>#VALUE!</v>
      </c>
      <c r="K14" s="8" t="e">
        <f>J14/'He so chung'!$D$11</f>
        <v>#VALUE!</v>
      </c>
      <c r="L14" s="38"/>
    </row>
    <row r="15" spans="1:12" ht="16.5">
      <c r="A15" s="13"/>
      <c r="B15" s="10" t="s">
        <v>12</v>
      </c>
      <c r="C15" s="10" t="s">
        <v>32</v>
      </c>
      <c r="D15" s="9" t="e">
        <f t="shared" si="0"/>
        <v>#VALUE!</v>
      </c>
      <c r="E15" s="9" t="e">
        <f>D15*'He so chung'!$D$6/100</f>
        <v>#VALUE!</v>
      </c>
      <c r="F15" s="9">
        <f>$J$3*'He so chung'!$D$7</f>
        <v>520000</v>
      </c>
      <c r="G15" s="9">
        <f>$J$3*'He so chung'!$D$8/5</f>
        <v>52000</v>
      </c>
      <c r="H15" s="9">
        <f>$J$3*'He so chung'!$D$9</f>
        <v>260000</v>
      </c>
      <c r="I15" s="9" t="e">
        <f>D15*'He so chung'!$D$10/100</f>
        <v>#VALUE!</v>
      </c>
      <c r="J15" s="9" t="e">
        <f t="shared" si="1"/>
        <v>#VALUE!</v>
      </c>
      <c r="K15" s="8" t="e">
        <f>J15/'He so chung'!$D$11</f>
        <v>#VALUE!</v>
      </c>
      <c r="L15" s="38"/>
    </row>
    <row r="16" spans="1:12" ht="16.5">
      <c r="A16" s="12" t="s">
        <v>18</v>
      </c>
      <c r="B16" s="11" t="s">
        <v>17</v>
      </c>
      <c r="C16" s="10"/>
      <c r="D16" s="9"/>
      <c r="E16" s="9">
        <f>D16*'He so chung'!$D$6/100</f>
        <v>0</v>
      </c>
      <c r="F16" s="9"/>
      <c r="G16" s="9"/>
      <c r="H16" s="9"/>
      <c r="I16" s="9"/>
      <c r="J16" s="9"/>
      <c r="K16" s="8">
        <f>J16/'He so chung'!$D$11</f>
        <v>0</v>
      </c>
      <c r="L16" s="38"/>
    </row>
    <row r="17" spans="1:12" ht="16.5">
      <c r="A17" s="13"/>
      <c r="B17" s="10" t="s">
        <v>5</v>
      </c>
      <c r="C17" s="10" t="s">
        <v>33</v>
      </c>
      <c r="D17" s="9" t="e">
        <f aca="true" t="shared" si="2" ref="D17:D26">$J$3*C17</f>
        <v>#VALUE!</v>
      </c>
      <c r="E17" s="9" t="e">
        <f>D17*'He so chung'!$D$6/100</f>
        <v>#VALUE!</v>
      </c>
      <c r="F17" s="9">
        <f>$J$3*'He so chung'!$D$7</f>
        <v>520000</v>
      </c>
      <c r="G17" s="9">
        <f>$J$3*'He so chung'!$D$8/5</f>
        <v>52000</v>
      </c>
      <c r="H17" s="9">
        <f>$J$3*'He so chung'!$D$9</f>
        <v>260000</v>
      </c>
      <c r="I17" s="9" t="e">
        <f>D17*'He so chung'!$D$10/100</f>
        <v>#VALUE!</v>
      </c>
      <c r="J17" s="9" t="e">
        <f aca="true" t="shared" si="3" ref="J17:J26">D17+E17+F17+G17+H17+I17</f>
        <v>#VALUE!</v>
      </c>
      <c r="K17" s="8" t="e">
        <f>J17/'He so chung'!$D$11</f>
        <v>#VALUE!</v>
      </c>
      <c r="L17" s="38"/>
    </row>
    <row r="18" spans="1:12" ht="16.5">
      <c r="A18" s="13"/>
      <c r="B18" s="10" t="s">
        <v>16</v>
      </c>
      <c r="C18" s="10" t="s">
        <v>34</v>
      </c>
      <c r="D18" s="9" t="e">
        <f t="shared" si="2"/>
        <v>#VALUE!</v>
      </c>
      <c r="E18" s="9" t="e">
        <f>D18*'He so chung'!$D$6/100</f>
        <v>#VALUE!</v>
      </c>
      <c r="F18" s="9">
        <f>$J$3*'He so chung'!$D$7</f>
        <v>520000</v>
      </c>
      <c r="G18" s="9">
        <f>$J$3*'He so chung'!$D$8/5</f>
        <v>52000</v>
      </c>
      <c r="H18" s="9">
        <f>$J$3*'He so chung'!$D$9</f>
        <v>260000</v>
      </c>
      <c r="I18" s="9" t="e">
        <f>D18*'He so chung'!$D$10/100</f>
        <v>#VALUE!</v>
      </c>
      <c r="J18" s="9" t="e">
        <f t="shared" si="3"/>
        <v>#VALUE!</v>
      </c>
      <c r="K18" s="8" t="e">
        <f>J18/'He so chung'!$D$11</f>
        <v>#VALUE!</v>
      </c>
      <c r="L18" s="38"/>
    </row>
    <row r="19" spans="1:12" ht="16.5">
      <c r="A19" s="13"/>
      <c r="B19" s="10" t="s">
        <v>15</v>
      </c>
      <c r="C19" s="10" t="s">
        <v>35</v>
      </c>
      <c r="D19" s="9" t="e">
        <f t="shared" si="2"/>
        <v>#VALUE!</v>
      </c>
      <c r="E19" s="9" t="e">
        <f>D19*'He so chung'!$D$6/100</f>
        <v>#VALUE!</v>
      </c>
      <c r="F19" s="9">
        <f>$J$3*'He so chung'!$D$7</f>
        <v>520000</v>
      </c>
      <c r="G19" s="9">
        <f>$J$3*'He so chung'!$D$8/5</f>
        <v>52000</v>
      </c>
      <c r="H19" s="9">
        <f>$J$3*'He so chung'!$D$9</f>
        <v>260000</v>
      </c>
      <c r="I19" s="9" t="e">
        <f>D19*'He so chung'!$D$10/100</f>
        <v>#VALUE!</v>
      </c>
      <c r="J19" s="9" t="e">
        <f t="shared" si="3"/>
        <v>#VALUE!</v>
      </c>
      <c r="K19" s="8" t="e">
        <f>J19/'He so chung'!$D$11</f>
        <v>#VALUE!</v>
      </c>
      <c r="L19" s="38"/>
    </row>
    <row r="20" spans="1:12" ht="16.5">
      <c r="A20" s="13"/>
      <c r="B20" s="10" t="s">
        <v>14</v>
      </c>
      <c r="C20" s="10" t="s">
        <v>36</v>
      </c>
      <c r="D20" s="9" t="e">
        <f t="shared" si="2"/>
        <v>#VALUE!</v>
      </c>
      <c r="E20" s="9" t="e">
        <f>D20*'He so chung'!$D$6/100</f>
        <v>#VALUE!</v>
      </c>
      <c r="F20" s="9">
        <f>$J$3*'He so chung'!$D$7</f>
        <v>520000</v>
      </c>
      <c r="G20" s="9">
        <f>$J$3*'He so chung'!$D$8/5</f>
        <v>52000</v>
      </c>
      <c r="H20" s="9">
        <f>$J$3*'He so chung'!$D$9</f>
        <v>260000</v>
      </c>
      <c r="I20" s="9" t="e">
        <f>D20*'He so chung'!$D$10/100</f>
        <v>#VALUE!</v>
      </c>
      <c r="J20" s="9" t="e">
        <f t="shared" si="3"/>
        <v>#VALUE!</v>
      </c>
      <c r="K20" s="8" t="e">
        <f>J20/'He so chung'!$D$11</f>
        <v>#VALUE!</v>
      </c>
      <c r="L20" s="38"/>
    </row>
    <row r="21" spans="1:12" ht="16.5">
      <c r="A21" s="13"/>
      <c r="B21" s="10" t="s">
        <v>13</v>
      </c>
      <c r="C21" s="10" t="s">
        <v>37</v>
      </c>
      <c r="D21" s="9" t="e">
        <f t="shared" si="2"/>
        <v>#VALUE!</v>
      </c>
      <c r="E21" s="9" t="e">
        <f>D21*'He so chung'!$D$6/100</f>
        <v>#VALUE!</v>
      </c>
      <c r="F21" s="9">
        <f>$J$3*'He so chung'!$D$7</f>
        <v>520000</v>
      </c>
      <c r="G21" s="9">
        <f>$J$3*'He so chung'!$D$8/5</f>
        <v>52000</v>
      </c>
      <c r="H21" s="9">
        <f>$J$3*'He so chung'!$D$9</f>
        <v>260000</v>
      </c>
      <c r="I21" s="9" t="e">
        <f>D21*'He so chung'!$D$10/100</f>
        <v>#VALUE!</v>
      </c>
      <c r="J21" s="9" t="e">
        <f t="shared" si="3"/>
        <v>#VALUE!</v>
      </c>
      <c r="K21" s="8" t="e">
        <f>J21/'He so chung'!$D$11</f>
        <v>#VALUE!</v>
      </c>
      <c r="L21" s="38"/>
    </row>
    <row r="22" spans="1:12" ht="16.5">
      <c r="A22" s="13"/>
      <c r="B22" s="10" t="s">
        <v>12</v>
      </c>
      <c r="C22" s="10" t="s">
        <v>38</v>
      </c>
      <c r="D22" s="9" t="e">
        <f t="shared" si="2"/>
        <v>#VALUE!</v>
      </c>
      <c r="E22" s="9" t="e">
        <f>D22*'He so chung'!$D$6/100</f>
        <v>#VALUE!</v>
      </c>
      <c r="F22" s="9">
        <f>$J$3*'He so chung'!$D$7</f>
        <v>520000</v>
      </c>
      <c r="G22" s="9">
        <f>$J$3*'He so chung'!$D$8/5</f>
        <v>52000</v>
      </c>
      <c r="H22" s="9">
        <f>$J$3*'He so chung'!$D$9</f>
        <v>260000</v>
      </c>
      <c r="I22" s="9" t="e">
        <f>D22*'He so chung'!$D$10/100</f>
        <v>#VALUE!</v>
      </c>
      <c r="J22" s="9" t="e">
        <f t="shared" si="3"/>
        <v>#VALUE!</v>
      </c>
      <c r="K22" s="8" t="e">
        <f>J22/'He so chung'!$D$11</f>
        <v>#VALUE!</v>
      </c>
      <c r="L22" s="38"/>
    </row>
    <row r="23" spans="1:12" ht="16.5">
      <c r="A23" s="13"/>
      <c r="B23" s="10" t="s">
        <v>11</v>
      </c>
      <c r="C23" s="10" t="s">
        <v>39</v>
      </c>
      <c r="D23" s="9" t="e">
        <f t="shared" si="2"/>
        <v>#VALUE!</v>
      </c>
      <c r="E23" s="9" t="e">
        <f>D23*'He so chung'!$D$6/100</f>
        <v>#VALUE!</v>
      </c>
      <c r="F23" s="9">
        <f>$J$3*'He so chung'!$D$7</f>
        <v>520000</v>
      </c>
      <c r="G23" s="9">
        <f>$J$3*'He so chung'!$D$8/5</f>
        <v>52000</v>
      </c>
      <c r="H23" s="9">
        <f>$J$3*'He so chung'!$D$9</f>
        <v>260000</v>
      </c>
      <c r="I23" s="9" t="e">
        <f>D23*'He so chung'!$D$10/100</f>
        <v>#VALUE!</v>
      </c>
      <c r="J23" s="9" t="e">
        <f t="shared" si="3"/>
        <v>#VALUE!</v>
      </c>
      <c r="K23" s="8" t="e">
        <f>J23/'He so chung'!$D$11</f>
        <v>#VALUE!</v>
      </c>
      <c r="L23" s="38"/>
    </row>
    <row r="24" spans="1:12" ht="16.5">
      <c r="A24" s="13"/>
      <c r="B24" s="10" t="s">
        <v>10</v>
      </c>
      <c r="C24" s="10" t="s">
        <v>29</v>
      </c>
      <c r="D24" s="9" t="e">
        <f t="shared" si="2"/>
        <v>#VALUE!</v>
      </c>
      <c r="E24" s="9" t="e">
        <f>D24*'He so chung'!$D$6/100</f>
        <v>#VALUE!</v>
      </c>
      <c r="F24" s="9">
        <f>$J$3*'He so chung'!$D$7</f>
        <v>520000</v>
      </c>
      <c r="G24" s="9">
        <f>$J$3*'He so chung'!$D$8/5</f>
        <v>52000</v>
      </c>
      <c r="H24" s="9">
        <f>$J$3*'He so chung'!$D$9</f>
        <v>260000</v>
      </c>
      <c r="I24" s="9" t="e">
        <f>D24*'He so chung'!$D$10/100</f>
        <v>#VALUE!</v>
      </c>
      <c r="J24" s="9" t="e">
        <f t="shared" si="3"/>
        <v>#VALUE!</v>
      </c>
      <c r="K24" s="8" t="e">
        <f>J24/'He so chung'!$D$11</f>
        <v>#VALUE!</v>
      </c>
      <c r="L24" s="38"/>
    </row>
    <row r="25" spans="1:12" ht="16.5">
      <c r="A25" s="13"/>
      <c r="B25" s="10" t="s">
        <v>9</v>
      </c>
      <c r="C25" s="10" t="s">
        <v>40</v>
      </c>
      <c r="D25" s="9" t="e">
        <f t="shared" si="2"/>
        <v>#VALUE!</v>
      </c>
      <c r="E25" s="9" t="e">
        <f>D25*'He so chung'!$D$6/100</f>
        <v>#VALUE!</v>
      </c>
      <c r="F25" s="9">
        <f>$J$3*'He so chung'!$D$7</f>
        <v>520000</v>
      </c>
      <c r="G25" s="9">
        <f>$J$3*'He so chung'!$D$8/5</f>
        <v>52000</v>
      </c>
      <c r="H25" s="9">
        <f>$J$3*'He so chung'!$D$9</f>
        <v>260000</v>
      </c>
      <c r="I25" s="9" t="e">
        <f>D25*'He so chung'!$D$10/100</f>
        <v>#VALUE!</v>
      </c>
      <c r="J25" s="9" t="e">
        <f t="shared" si="3"/>
        <v>#VALUE!</v>
      </c>
      <c r="K25" s="8" t="e">
        <f>J25/'He so chung'!$D$11</f>
        <v>#VALUE!</v>
      </c>
      <c r="L25" s="38"/>
    </row>
    <row r="26" spans="1:12" ht="16.5">
      <c r="A26" s="13"/>
      <c r="B26" s="10" t="s">
        <v>8</v>
      </c>
      <c r="C26" s="10" t="s">
        <v>41</v>
      </c>
      <c r="D26" s="9" t="e">
        <f t="shared" si="2"/>
        <v>#VALUE!</v>
      </c>
      <c r="E26" s="9" t="e">
        <f>D26*'He so chung'!$D$6/100</f>
        <v>#VALUE!</v>
      </c>
      <c r="F26" s="9">
        <f>$J$3*'He so chung'!$D$7</f>
        <v>520000</v>
      </c>
      <c r="G26" s="9">
        <f>$J$3*'He so chung'!$D$8/5</f>
        <v>52000</v>
      </c>
      <c r="H26" s="9">
        <f>$J$3*'He so chung'!$D$9</f>
        <v>260000</v>
      </c>
      <c r="I26" s="9" t="e">
        <f>D26*'He so chung'!$D$10/100</f>
        <v>#VALUE!</v>
      </c>
      <c r="J26" s="9" t="e">
        <f t="shared" si="3"/>
        <v>#VALUE!</v>
      </c>
      <c r="K26" s="8" t="e">
        <f>J26/'He so chung'!$D$11</f>
        <v>#VALUE!</v>
      </c>
      <c r="L26" s="38"/>
    </row>
    <row r="27" spans="1:12" ht="16.5">
      <c r="A27" s="12" t="s">
        <v>7</v>
      </c>
      <c r="B27" s="11" t="s">
        <v>6</v>
      </c>
      <c r="C27" s="10"/>
      <c r="D27" s="9"/>
      <c r="E27" s="9">
        <f>D27*'He so chung'!$D$6/100</f>
        <v>0</v>
      </c>
      <c r="F27" s="9">
        <f>$J$3*'He so chung'!$D$7</f>
        <v>520000</v>
      </c>
      <c r="G27" s="9"/>
      <c r="H27" s="9"/>
      <c r="I27" s="9"/>
      <c r="J27" s="9"/>
      <c r="K27" s="8">
        <f>J27/'He so chung'!$D$11</f>
        <v>0</v>
      </c>
      <c r="L27" s="38"/>
    </row>
    <row r="28" spans="1:12" ht="16.5">
      <c r="A28" s="7"/>
      <c r="B28" s="6" t="s">
        <v>5</v>
      </c>
      <c r="C28" s="6" t="s">
        <v>42</v>
      </c>
      <c r="D28" s="5" t="e">
        <f>$J$3*C28</f>
        <v>#VALUE!</v>
      </c>
      <c r="E28" s="5" t="e">
        <f>D28*'He so chung'!$D$6/100</f>
        <v>#VALUE!</v>
      </c>
      <c r="F28" s="5">
        <f>$J$3*'He so chung'!$D$7</f>
        <v>520000</v>
      </c>
      <c r="G28" s="5"/>
      <c r="H28" s="5">
        <f>$J$3*'He so chung'!$D$9</f>
        <v>260000</v>
      </c>
      <c r="I28" s="5" t="e">
        <f>D28*'He so chung'!$D$10/100</f>
        <v>#VALUE!</v>
      </c>
      <c r="J28" s="5" t="e">
        <f>D28+E28+F28+G28+H28+I28</f>
        <v>#VALUE!</v>
      </c>
      <c r="K28" s="4" t="e">
        <f>J28/'He so chung'!$D$11</f>
        <v>#VALUE!</v>
      </c>
      <c r="L28" s="38"/>
    </row>
    <row r="29" spans="1:12" ht="15.75" customHeight="1">
      <c r="A29" s="22"/>
      <c r="B29" s="39"/>
      <c r="C29" s="39"/>
      <c r="D29" s="40"/>
      <c r="E29" s="39"/>
      <c r="F29" s="39"/>
      <c r="G29" s="40"/>
      <c r="H29" s="40"/>
      <c r="I29" s="39"/>
      <c r="J29" s="39"/>
      <c r="K29" s="39"/>
      <c r="L29" s="38"/>
    </row>
    <row r="30" spans="1:12" ht="9" customHeight="1">
      <c r="A30" s="22"/>
      <c r="B30" s="20"/>
      <c r="C30" s="20"/>
      <c r="D30" s="21"/>
      <c r="E30" s="20"/>
      <c r="F30" s="20"/>
      <c r="G30" s="21"/>
      <c r="H30" s="21"/>
      <c r="I30" s="20"/>
      <c r="J30" s="20"/>
      <c r="K30" s="20"/>
      <c r="L30" s="38"/>
    </row>
    <row r="31" spans="1:12" ht="51" customHeight="1">
      <c r="A31" s="36" t="s">
        <v>44</v>
      </c>
      <c r="B31" s="36" t="s">
        <v>45</v>
      </c>
      <c r="C31" s="36" t="s">
        <v>46</v>
      </c>
      <c r="D31" s="36" t="s">
        <v>47</v>
      </c>
      <c r="E31" s="36" t="s">
        <v>48</v>
      </c>
      <c r="F31" s="36" t="s">
        <v>49</v>
      </c>
      <c r="G31" s="36" t="s">
        <v>50</v>
      </c>
      <c r="H31" s="36" t="s">
        <v>51</v>
      </c>
      <c r="I31" s="36" t="s">
        <v>52</v>
      </c>
      <c r="J31" s="36" t="s">
        <v>53</v>
      </c>
      <c r="K31" s="36" t="s">
        <v>54</v>
      </c>
      <c r="L31" s="38"/>
    </row>
    <row r="32" spans="1:12" ht="16.5">
      <c r="A32" s="19" t="s">
        <v>2</v>
      </c>
      <c r="B32" s="41" t="s">
        <v>56</v>
      </c>
      <c r="C32" s="42"/>
      <c r="D32" s="43"/>
      <c r="E32" s="43"/>
      <c r="F32" s="43"/>
      <c r="G32" s="43"/>
      <c r="H32" s="43"/>
      <c r="I32" s="43"/>
      <c r="J32" s="43"/>
      <c r="K32" s="43"/>
      <c r="L32" s="38"/>
    </row>
    <row r="33" spans="1:12" ht="16.5">
      <c r="A33" s="17" t="s">
        <v>23</v>
      </c>
      <c r="B33" s="8" t="s">
        <v>22</v>
      </c>
      <c r="C33" s="16"/>
      <c r="D33" s="9"/>
      <c r="E33" s="15"/>
      <c r="F33" s="15"/>
      <c r="G33" s="9"/>
      <c r="H33" s="9"/>
      <c r="I33" s="15"/>
      <c r="J33" s="15"/>
      <c r="K33" s="15"/>
      <c r="L33" s="38"/>
    </row>
    <row r="34" spans="1:12" ht="16.5">
      <c r="A34" s="14"/>
      <c r="B34" s="10" t="s">
        <v>21</v>
      </c>
      <c r="C34" s="10" t="s">
        <v>20</v>
      </c>
      <c r="D34" s="9" t="e">
        <f aca="true" t="shared" si="4" ref="D34:D41">$J$3*C34</f>
        <v>#VALUE!</v>
      </c>
      <c r="E34" s="9" t="e">
        <f>D34*'He so chung'!$D$6/100</f>
        <v>#VALUE!</v>
      </c>
      <c r="F34" s="9"/>
      <c r="G34" s="9">
        <f>$J$3*'He so chung'!$D$8/5</f>
        <v>52000</v>
      </c>
      <c r="H34" s="9"/>
      <c r="I34" s="9" t="e">
        <f>D34*'He so chung'!$D$10/100</f>
        <v>#VALUE!</v>
      </c>
      <c r="J34" s="9" t="e">
        <f aca="true" t="shared" si="5" ref="J34:J54">D34+E34+F34+G34+H34+I34</f>
        <v>#VALUE!</v>
      </c>
      <c r="K34" s="8" t="e">
        <f>J34/'He so chung'!$D$11</f>
        <v>#VALUE!</v>
      </c>
      <c r="L34" s="38"/>
    </row>
    <row r="35" spans="1:12" ht="16.5">
      <c r="A35" s="14"/>
      <c r="B35" s="10" t="s">
        <v>19</v>
      </c>
      <c r="C35" s="10" t="s">
        <v>26</v>
      </c>
      <c r="D35" s="9" t="e">
        <f t="shared" si="4"/>
        <v>#VALUE!</v>
      </c>
      <c r="E35" s="9" t="e">
        <f>D35*'He so chung'!$D$6/100</f>
        <v>#VALUE!</v>
      </c>
      <c r="F35" s="9"/>
      <c r="G35" s="9">
        <f>$J$3*'He so chung'!$D$8/5</f>
        <v>52000</v>
      </c>
      <c r="H35" s="9"/>
      <c r="I35" s="9" t="e">
        <f>D35*'He so chung'!$D$10/100</f>
        <v>#VALUE!</v>
      </c>
      <c r="J35" s="9" t="e">
        <f t="shared" si="5"/>
        <v>#VALUE!</v>
      </c>
      <c r="K35" s="8" t="e">
        <f>J35/'He so chung'!$D$11</f>
        <v>#VALUE!</v>
      </c>
      <c r="L35" s="38"/>
    </row>
    <row r="36" spans="1:12" ht="16.5">
      <c r="A36" s="13"/>
      <c r="B36" s="10" t="s">
        <v>5</v>
      </c>
      <c r="C36" s="10" t="s">
        <v>27</v>
      </c>
      <c r="D36" s="9" t="e">
        <f t="shared" si="4"/>
        <v>#VALUE!</v>
      </c>
      <c r="E36" s="9" t="e">
        <f>D36*'He so chung'!$D$6/100</f>
        <v>#VALUE!</v>
      </c>
      <c r="F36" s="9"/>
      <c r="G36" s="9">
        <f>$J$3*'He so chung'!$D$8/5</f>
        <v>52000</v>
      </c>
      <c r="H36" s="9"/>
      <c r="I36" s="9" t="e">
        <f>D36*'He so chung'!$D$10/100</f>
        <v>#VALUE!</v>
      </c>
      <c r="J36" s="9" t="e">
        <f t="shared" si="5"/>
        <v>#VALUE!</v>
      </c>
      <c r="K36" s="8" t="e">
        <f>J36/'He so chung'!$D$11</f>
        <v>#VALUE!</v>
      </c>
      <c r="L36" s="38"/>
    </row>
    <row r="37" spans="1:12" ht="16.5">
      <c r="A37" s="13"/>
      <c r="B37" s="10" t="s">
        <v>16</v>
      </c>
      <c r="C37" s="10" t="s">
        <v>28</v>
      </c>
      <c r="D37" s="9" t="e">
        <f t="shared" si="4"/>
        <v>#VALUE!</v>
      </c>
      <c r="E37" s="9" t="e">
        <f>D37*'He so chung'!$D$6/100</f>
        <v>#VALUE!</v>
      </c>
      <c r="F37" s="9"/>
      <c r="G37" s="9">
        <f>$J$3*'He so chung'!$D$8/5</f>
        <v>52000</v>
      </c>
      <c r="H37" s="9"/>
      <c r="I37" s="9" t="e">
        <f>D37*'He so chung'!$D$10/100</f>
        <v>#VALUE!</v>
      </c>
      <c r="J37" s="9" t="e">
        <f t="shared" si="5"/>
        <v>#VALUE!</v>
      </c>
      <c r="K37" s="8" t="e">
        <f>J37/'He so chung'!$D$11</f>
        <v>#VALUE!</v>
      </c>
      <c r="L37" s="38"/>
    </row>
    <row r="38" spans="1:12" ht="16.5">
      <c r="A38" s="13"/>
      <c r="B38" s="10" t="s">
        <v>15</v>
      </c>
      <c r="C38" s="10" t="s">
        <v>29</v>
      </c>
      <c r="D38" s="9" t="e">
        <f t="shared" si="4"/>
        <v>#VALUE!</v>
      </c>
      <c r="E38" s="9" t="e">
        <f>D38*'He so chung'!$D$6/100</f>
        <v>#VALUE!</v>
      </c>
      <c r="F38" s="9"/>
      <c r="G38" s="9">
        <f>$J$3*'He so chung'!$D$8/5</f>
        <v>52000</v>
      </c>
      <c r="H38" s="9"/>
      <c r="I38" s="9" t="e">
        <f>D38*'He so chung'!$D$10/100</f>
        <v>#VALUE!</v>
      </c>
      <c r="J38" s="9" t="e">
        <f t="shared" si="5"/>
        <v>#VALUE!</v>
      </c>
      <c r="K38" s="8" t="e">
        <f>J38/'He so chung'!$D$11</f>
        <v>#VALUE!</v>
      </c>
      <c r="L38" s="38"/>
    </row>
    <row r="39" spans="1:12" ht="16.5">
      <c r="A39" s="13"/>
      <c r="B39" s="10" t="s">
        <v>14</v>
      </c>
      <c r="C39" s="10" t="s">
        <v>30</v>
      </c>
      <c r="D39" s="9" t="e">
        <f t="shared" si="4"/>
        <v>#VALUE!</v>
      </c>
      <c r="E39" s="9" t="e">
        <f>D39*'He so chung'!$D$6/100</f>
        <v>#VALUE!</v>
      </c>
      <c r="F39" s="9"/>
      <c r="G39" s="9">
        <f>$J$3*'He so chung'!$D$8/5</f>
        <v>52000</v>
      </c>
      <c r="H39" s="9"/>
      <c r="I39" s="9" t="e">
        <f>D39*'He so chung'!$D$10/100</f>
        <v>#VALUE!</v>
      </c>
      <c r="J39" s="9" t="e">
        <f t="shared" si="5"/>
        <v>#VALUE!</v>
      </c>
      <c r="K39" s="8" t="e">
        <f>J39/'He so chung'!$D$11</f>
        <v>#VALUE!</v>
      </c>
      <c r="L39" s="38"/>
    </row>
    <row r="40" spans="1:12" ht="16.5">
      <c r="A40" s="13"/>
      <c r="B40" s="10" t="s">
        <v>13</v>
      </c>
      <c r="C40" s="10" t="s">
        <v>31</v>
      </c>
      <c r="D40" s="9" t="e">
        <f t="shared" si="4"/>
        <v>#VALUE!</v>
      </c>
      <c r="E40" s="9" t="e">
        <f>D40*'He so chung'!$D$6/100</f>
        <v>#VALUE!</v>
      </c>
      <c r="F40" s="9"/>
      <c r="G40" s="9">
        <f>$J$3*'He so chung'!$D$8/5</f>
        <v>52000</v>
      </c>
      <c r="H40" s="9"/>
      <c r="I40" s="9" t="e">
        <f>D40*'He so chung'!$D$10/100</f>
        <v>#VALUE!</v>
      </c>
      <c r="J40" s="9" t="e">
        <f t="shared" si="5"/>
        <v>#VALUE!</v>
      </c>
      <c r="K40" s="8" t="e">
        <f>J40/'He so chung'!$D$11</f>
        <v>#VALUE!</v>
      </c>
      <c r="L40" s="38"/>
    </row>
    <row r="41" spans="1:12" ht="16.5">
      <c r="A41" s="13"/>
      <c r="B41" s="10" t="s">
        <v>12</v>
      </c>
      <c r="C41" s="10" t="s">
        <v>32</v>
      </c>
      <c r="D41" s="9" t="e">
        <f t="shared" si="4"/>
        <v>#VALUE!</v>
      </c>
      <c r="E41" s="9" t="e">
        <f>D41*'He so chung'!$D$6/100</f>
        <v>#VALUE!</v>
      </c>
      <c r="F41" s="9"/>
      <c r="G41" s="9">
        <f>$J$3*'He so chung'!$D$8/5</f>
        <v>52000</v>
      </c>
      <c r="H41" s="9"/>
      <c r="I41" s="9" t="e">
        <f>D41*'He so chung'!$D$10/100</f>
        <v>#VALUE!</v>
      </c>
      <c r="J41" s="9" t="e">
        <f t="shared" si="5"/>
        <v>#VALUE!</v>
      </c>
      <c r="K41" s="8" t="e">
        <f>J41/'He so chung'!$D$11</f>
        <v>#VALUE!</v>
      </c>
      <c r="L41" s="38"/>
    </row>
    <row r="42" spans="1:12" ht="16.5">
      <c r="A42" s="12" t="s">
        <v>18</v>
      </c>
      <c r="B42" s="11" t="s">
        <v>17</v>
      </c>
      <c r="C42" s="10"/>
      <c r="D42" s="9"/>
      <c r="E42" s="9">
        <f>D42*'He so chung'!$D$6/100</f>
        <v>0</v>
      </c>
      <c r="F42" s="9"/>
      <c r="G42" s="9">
        <f>$J$3*'He so chung'!$D$8/5</f>
        <v>52000</v>
      </c>
      <c r="H42" s="9"/>
      <c r="I42" s="9">
        <f>D42*'He so chung'!$D$10/100</f>
        <v>0</v>
      </c>
      <c r="J42" s="9">
        <f t="shared" si="5"/>
        <v>52000</v>
      </c>
      <c r="K42" s="8">
        <f>J42/'He so chung'!$D$11</f>
        <v>2000</v>
      </c>
      <c r="L42" s="38"/>
    </row>
    <row r="43" spans="1:12" ht="16.5">
      <c r="A43" s="13"/>
      <c r="B43" s="10" t="s">
        <v>5</v>
      </c>
      <c r="C43" s="10" t="s">
        <v>33</v>
      </c>
      <c r="D43" s="9" t="e">
        <f aca="true" t="shared" si="6" ref="D43:D52">$J$3*C43</f>
        <v>#VALUE!</v>
      </c>
      <c r="E43" s="9" t="e">
        <f>D43*'He so chung'!$D$6/100</f>
        <v>#VALUE!</v>
      </c>
      <c r="F43" s="9"/>
      <c r="G43" s="9">
        <f>$J$3*'He so chung'!$D$8/5</f>
        <v>52000</v>
      </c>
      <c r="H43" s="9"/>
      <c r="I43" s="9" t="e">
        <f>D43*'He so chung'!$D$10/100</f>
        <v>#VALUE!</v>
      </c>
      <c r="J43" s="9" t="e">
        <f t="shared" si="5"/>
        <v>#VALUE!</v>
      </c>
      <c r="K43" s="8" t="e">
        <f>J43/'He so chung'!$D$11</f>
        <v>#VALUE!</v>
      </c>
      <c r="L43" s="38"/>
    </row>
    <row r="44" spans="1:12" ht="16.5">
      <c r="A44" s="13"/>
      <c r="B44" s="10" t="s">
        <v>16</v>
      </c>
      <c r="C44" s="10" t="s">
        <v>34</v>
      </c>
      <c r="D44" s="9" t="e">
        <f t="shared" si="6"/>
        <v>#VALUE!</v>
      </c>
      <c r="E44" s="9" t="e">
        <f>D44*'He so chung'!$D$6/100</f>
        <v>#VALUE!</v>
      </c>
      <c r="F44" s="9"/>
      <c r="G44" s="9">
        <f>$J$3*'He so chung'!$D$8/5</f>
        <v>52000</v>
      </c>
      <c r="H44" s="9"/>
      <c r="I44" s="9" t="e">
        <f>D44*'He so chung'!$D$10/100</f>
        <v>#VALUE!</v>
      </c>
      <c r="J44" s="9" t="e">
        <f t="shared" si="5"/>
        <v>#VALUE!</v>
      </c>
      <c r="K44" s="8" t="e">
        <f>J44/'He so chung'!$D$11</f>
        <v>#VALUE!</v>
      </c>
      <c r="L44" s="38"/>
    </row>
    <row r="45" spans="1:12" ht="16.5">
      <c r="A45" s="13"/>
      <c r="B45" s="10" t="s">
        <v>15</v>
      </c>
      <c r="C45" s="10" t="s">
        <v>35</v>
      </c>
      <c r="D45" s="9" t="e">
        <f t="shared" si="6"/>
        <v>#VALUE!</v>
      </c>
      <c r="E45" s="9" t="e">
        <f>D45*'He so chung'!$D$6/100</f>
        <v>#VALUE!</v>
      </c>
      <c r="F45" s="9"/>
      <c r="G45" s="9">
        <f>$J$3*'He so chung'!$D$8/5</f>
        <v>52000</v>
      </c>
      <c r="H45" s="9"/>
      <c r="I45" s="9" t="e">
        <f>D45*'He so chung'!$D$10/100</f>
        <v>#VALUE!</v>
      </c>
      <c r="J45" s="9" t="e">
        <f t="shared" si="5"/>
        <v>#VALUE!</v>
      </c>
      <c r="K45" s="8" t="e">
        <f>J45/'He so chung'!$D$11</f>
        <v>#VALUE!</v>
      </c>
      <c r="L45" s="38"/>
    </row>
    <row r="46" spans="1:12" ht="16.5">
      <c r="A46" s="13"/>
      <c r="B46" s="10" t="s">
        <v>14</v>
      </c>
      <c r="C46" s="10" t="s">
        <v>36</v>
      </c>
      <c r="D46" s="9" t="e">
        <f t="shared" si="6"/>
        <v>#VALUE!</v>
      </c>
      <c r="E46" s="9" t="e">
        <f>D46*'He so chung'!$D$6/100</f>
        <v>#VALUE!</v>
      </c>
      <c r="F46" s="9"/>
      <c r="G46" s="9">
        <f>$J$3*'He so chung'!$D$8/5</f>
        <v>52000</v>
      </c>
      <c r="H46" s="9"/>
      <c r="I46" s="9" t="e">
        <f>D46*'He so chung'!$D$10/100</f>
        <v>#VALUE!</v>
      </c>
      <c r="J46" s="9" t="e">
        <f t="shared" si="5"/>
        <v>#VALUE!</v>
      </c>
      <c r="K46" s="8" t="e">
        <f>J46/'He so chung'!$D$11</f>
        <v>#VALUE!</v>
      </c>
      <c r="L46" s="38"/>
    </row>
    <row r="47" spans="1:12" ht="16.5">
      <c r="A47" s="13"/>
      <c r="B47" s="10" t="s">
        <v>13</v>
      </c>
      <c r="C47" s="10" t="s">
        <v>37</v>
      </c>
      <c r="D47" s="9" t="e">
        <f t="shared" si="6"/>
        <v>#VALUE!</v>
      </c>
      <c r="E47" s="9" t="e">
        <f>D47*'He so chung'!$D$6/100</f>
        <v>#VALUE!</v>
      </c>
      <c r="F47" s="9"/>
      <c r="G47" s="9">
        <f>$J$3*'He so chung'!$D$8/5</f>
        <v>52000</v>
      </c>
      <c r="H47" s="9"/>
      <c r="I47" s="9" t="e">
        <f>D47*'He so chung'!$D$10/100</f>
        <v>#VALUE!</v>
      </c>
      <c r="J47" s="9" t="e">
        <f t="shared" si="5"/>
        <v>#VALUE!</v>
      </c>
      <c r="K47" s="8" t="e">
        <f>J47/'He so chung'!$D$11</f>
        <v>#VALUE!</v>
      </c>
      <c r="L47" s="38"/>
    </row>
    <row r="48" spans="1:12" ht="16.5">
      <c r="A48" s="13"/>
      <c r="B48" s="10" t="s">
        <v>12</v>
      </c>
      <c r="C48" s="10" t="s">
        <v>38</v>
      </c>
      <c r="D48" s="9" t="e">
        <f t="shared" si="6"/>
        <v>#VALUE!</v>
      </c>
      <c r="E48" s="9" t="e">
        <f>D48*'He so chung'!$D$6/100</f>
        <v>#VALUE!</v>
      </c>
      <c r="F48" s="9"/>
      <c r="G48" s="9">
        <f>$J$3*'He so chung'!$D$8/5</f>
        <v>52000</v>
      </c>
      <c r="H48" s="9"/>
      <c r="I48" s="9" t="e">
        <f>D48*'He so chung'!$D$10/100</f>
        <v>#VALUE!</v>
      </c>
      <c r="J48" s="9" t="e">
        <f t="shared" si="5"/>
        <v>#VALUE!</v>
      </c>
      <c r="K48" s="8" t="e">
        <f>J48/'He so chung'!$D$11</f>
        <v>#VALUE!</v>
      </c>
      <c r="L48" s="38"/>
    </row>
    <row r="49" spans="1:12" ht="16.5">
      <c r="A49" s="13"/>
      <c r="B49" s="10" t="s">
        <v>11</v>
      </c>
      <c r="C49" s="10" t="s">
        <v>39</v>
      </c>
      <c r="D49" s="9" t="e">
        <f t="shared" si="6"/>
        <v>#VALUE!</v>
      </c>
      <c r="E49" s="9" t="e">
        <f>D49*'He so chung'!$D$6/100</f>
        <v>#VALUE!</v>
      </c>
      <c r="F49" s="9"/>
      <c r="G49" s="9">
        <f>$J$3*'He so chung'!$D$8/5</f>
        <v>52000</v>
      </c>
      <c r="H49" s="9"/>
      <c r="I49" s="9" t="e">
        <f>D49*'He so chung'!$D$10/100</f>
        <v>#VALUE!</v>
      </c>
      <c r="J49" s="9" t="e">
        <f t="shared" si="5"/>
        <v>#VALUE!</v>
      </c>
      <c r="K49" s="8" t="e">
        <f>J49/'He so chung'!$D$11</f>
        <v>#VALUE!</v>
      </c>
      <c r="L49" s="38"/>
    </row>
    <row r="50" spans="1:13" ht="16.5">
      <c r="A50" s="13"/>
      <c r="B50" s="10" t="s">
        <v>10</v>
      </c>
      <c r="C50" s="10" t="s">
        <v>29</v>
      </c>
      <c r="D50" s="9" t="e">
        <f t="shared" si="6"/>
        <v>#VALUE!</v>
      </c>
      <c r="E50" s="9" t="e">
        <f>D50*'He so chung'!$D$6/100</f>
        <v>#VALUE!</v>
      </c>
      <c r="F50" s="9"/>
      <c r="G50" s="9">
        <f>$J$3*'He so chung'!$D$8/5</f>
        <v>52000</v>
      </c>
      <c r="H50" s="9"/>
      <c r="I50" s="9" t="e">
        <f>D50*'He so chung'!$D$10/100</f>
        <v>#VALUE!</v>
      </c>
      <c r="J50" s="9" t="e">
        <f t="shared" si="5"/>
        <v>#VALUE!</v>
      </c>
      <c r="K50" s="8" t="e">
        <f>J50/'He so chung'!$D$11</f>
        <v>#VALUE!</v>
      </c>
      <c r="L50" s="38"/>
      <c r="M50" s="3" t="s">
        <v>87</v>
      </c>
    </row>
    <row r="51" spans="1:12" ht="16.5">
      <c r="A51" s="13"/>
      <c r="B51" s="10" t="s">
        <v>9</v>
      </c>
      <c r="C51" s="10" t="s">
        <v>40</v>
      </c>
      <c r="D51" s="9" t="e">
        <f t="shared" si="6"/>
        <v>#VALUE!</v>
      </c>
      <c r="E51" s="9" t="e">
        <f>D51*'He so chung'!$D$6/100</f>
        <v>#VALUE!</v>
      </c>
      <c r="F51" s="9"/>
      <c r="G51" s="9">
        <f>$J$3*'He so chung'!$D$8/5</f>
        <v>52000</v>
      </c>
      <c r="H51" s="9"/>
      <c r="I51" s="9" t="e">
        <f>D51*'He so chung'!$D$10/100</f>
        <v>#VALUE!</v>
      </c>
      <c r="J51" s="9" t="e">
        <f t="shared" si="5"/>
        <v>#VALUE!</v>
      </c>
      <c r="K51" s="8" t="e">
        <f>J51/'He so chung'!$D$11</f>
        <v>#VALUE!</v>
      </c>
      <c r="L51" s="38"/>
    </row>
    <row r="52" spans="1:12" ht="16.5">
      <c r="A52" s="13"/>
      <c r="B52" s="10" t="s">
        <v>8</v>
      </c>
      <c r="C52" s="10" t="s">
        <v>41</v>
      </c>
      <c r="D52" s="9" t="e">
        <f t="shared" si="6"/>
        <v>#VALUE!</v>
      </c>
      <c r="E52" s="9" t="e">
        <f>D52*'He so chung'!$D$6/100</f>
        <v>#VALUE!</v>
      </c>
      <c r="F52" s="9"/>
      <c r="G52" s="9">
        <f>$J$3*'He so chung'!$D$8/5</f>
        <v>52000</v>
      </c>
      <c r="H52" s="9"/>
      <c r="I52" s="9" t="e">
        <f>D52*'He so chung'!$D$10/100</f>
        <v>#VALUE!</v>
      </c>
      <c r="J52" s="9" t="e">
        <f t="shared" si="5"/>
        <v>#VALUE!</v>
      </c>
      <c r="K52" s="8" t="e">
        <f>J52/'He so chung'!$D$11</f>
        <v>#VALUE!</v>
      </c>
      <c r="L52" s="38"/>
    </row>
    <row r="53" spans="1:12" ht="16.5">
      <c r="A53" s="12" t="s">
        <v>7</v>
      </c>
      <c r="B53" s="11" t="s">
        <v>6</v>
      </c>
      <c r="C53" s="10"/>
      <c r="D53" s="9"/>
      <c r="E53" s="9">
        <f>D53*'He so chung'!$D$6/100</f>
        <v>0</v>
      </c>
      <c r="F53" s="9"/>
      <c r="G53" s="9"/>
      <c r="H53" s="9"/>
      <c r="I53" s="9">
        <f>D53*'He so chung'!$D$10/100</f>
        <v>0</v>
      </c>
      <c r="J53" s="9">
        <f t="shared" si="5"/>
        <v>0</v>
      </c>
      <c r="K53" s="8">
        <f>J53/'He so chung'!$D$11</f>
        <v>0</v>
      </c>
      <c r="L53" s="38"/>
    </row>
    <row r="54" spans="1:12" ht="16.5">
      <c r="A54" s="7"/>
      <c r="B54" s="6" t="s">
        <v>5</v>
      </c>
      <c r="C54" s="6" t="s">
        <v>42</v>
      </c>
      <c r="D54" s="5" t="e">
        <f>$J$3*C54</f>
        <v>#VALUE!</v>
      </c>
      <c r="E54" s="5" t="e">
        <f>D54*'He so chung'!$D$6/100</f>
        <v>#VALUE!</v>
      </c>
      <c r="F54" s="5"/>
      <c r="G54" s="5"/>
      <c r="H54" s="5"/>
      <c r="I54" s="5" t="e">
        <f>D54*'He so chung'!$D$10/100</f>
        <v>#VALUE!</v>
      </c>
      <c r="J54" s="5" t="e">
        <f t="shared" si="5"/>
        <v>#VALUE!</v>
      </c>
      <c r="K54" s="4" t="e">
        <f>J54/'He so chung'!$D$11</f>
        <v>#VALUE!</v>
      </c>
      <c r="L54" s="38"/>
    </row>
  </sheetData>
  <sheetProtection/>
  <mergeCells count="2">
    <mergeCell ref="A2:K2"/>
    <mergeCell ref="J1:K1"/>
  </mergeCells>
  <printOptions horizontalCentered="1"/>
  <pageMargins left="0.7480314960629921" right="0.7480314960629921" top="0.7874015748031497" bottom="0.7874015748031497" header="0.5118110236220472" footer="0.3937007874015748"/>
  <pageSetup firstPageNumber="41" useFirstPageNumber="1" horizontalDpi="600" verticalDpi="600" orientation="landscape" paperSize="9" r:id="rId1"/>
  <headerFooter alignWithMargins="0">
    <oddFooter>&amp;CTrang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zoomScalePageLayoutView="0" workbookViewId="0" topLeftCell="A1">
      <selection activeCell="A13" sqref="A13:IV13"/>
    </sheetView>
  </sheetViews>
  <sheetFormatPr defaultColWidth="8.72265625" defaultRowHeight="16.5"/>
  <cols>
    <col min="1" max="1" width="5.99609375" style="127" customWidth="1"/>
    <col min="2" max="2" width="22.99609375" style="3" customWidth="1"/>
    <col min="3" max="3" width="9.0859375" style="3" customWidth="1"/>
    <col min="4" max="4" width="14.453125" style="3" customWidth="1"/>
    <col min="5" max="5" width="13.54296875" style="3" customWidth="1"/>
    <col min="6" max="6" width="15.453125" style="3" customWidth="1"/>
    <col min="7" max="7" width="14.8125" style="3" customWidth="1"/>
    <col min="8" max="16384" width="8.90625" style="3" customWidth="1"/>
  </cols>
  <sheetData>
    <row r="1" spans="6:7" ht="18.75" customHeight="1">
      <c r="F1" s="228"/>
      <c r="G1" s="228" t="s">
        <v>223</v>
      </c>
    </row>
    <row r="2" spans="1:7" ht="21" customHeight="1">
      <c r="A2" s="556" t="s">
        <v>225</v>
      </c>
      <c r="B2" s="556"/>
      <c r="C2" s="556"/>
      <c r="D2" s="556"/>
      <c r="E2" s="556"/>
      <c r="F2" s="556"/>
      <c r="G2" s="556"/>
    </row>
    <row r="3" spans="1:5" ht="21" customHeight="1">
      <c r="A3" s="145"/>
      <c r="B3" s="146"/>
      <c r="C3" s="147"/>
      <c r="D3" s="147"/>
      <c r="E3" s="147"/>
    </row>
    <row r="4" spans="1:7" ht="16.5" customHeight="1">
      <c r="A4" s="566" t="s">
        <v>147</v>
      </c>
      <c r="B4" s="567" t="s">
        <v>148</v>
      </c>
      <c r="C4" s="567" t="s">
        <v>3</v>
      </c>
      <c r="D4" s="562" t="s">
        <v>120</v>
      </c>
      <c r="E4" s="562" t="s">
        <v>121</v>
      </c>
      <c r="F4" s="562" t="s">
        <v>90</v>
      </c>
      <c r="G4" s="562" t="s">
        <v>224</v>
      </c>
    </row>
    <row r="5" spans="1:7" ht="36.75" customHeight="1">
      <c r="A5" s="566"/>
      <c r="B5" s="567"/>
      <c r="C5" s="567"/>
      <c r="D5" s="563"/>
      <c r="E5" s="563"/>
      <c r="F5" s="563"/>
      <c r="G5" s="563"/>
    </row>
    <row r="6" spans="1:7" ht="15.75" customHeight="1">
      <c r="A6" s="566"/>
      <c r="B6" s="567"/>
      <c r="C6" s="567"/>
      <c r="D6" s="564"/>
      <c r="E6" s="564"/>
      <c r="F6" s="564"/>
      <c r="G6" s="564"/>
    </row>
    <row r="7" spans="1:7" ht="24.75" customHeight="1">
      <c r="A7" s="203">
        <v>1</v>
      </c>
      <c r="B7" s="150" t="s">
        <v>177</v>
      </c>
      <c r="C7" s="202" t="s">
        <v>160</v>
      </c>
      <c r="D7" s="192">
        <f>2/30</f>
        <v>0.06666666666666667</v>
      </c>
      <c r="E7" s="194">
        <v>0.03</v>
      </c>
      <c r="F7" s="194">
        <f>2/30</f>
        <v>0.06666666666666667</v>
      </c>
      <c r="G7" s="194"/>
    </row>
    <row r="8" spans="1:7" ht="26.25" customHeight="1">
      <c r="A8" s="203">
        <v>2</v>
      </c>
      <c r="B8" s="155" t="s">
        <v>161</v>
      </c>
      <c r="C8" s="203" t="s">
        <v>160</v>
      </c>
      <c r="D8" s="199">
        <f>0.1/2</f>
        <v>0.05</v>
      </c>
      <c r="E8" s="197">
        <v>0.01</v>
      </c>
      <c r="F8" s="197">
        <v>0.02</v>
      </c>
      <c r="G8" s="197"/>
    </row>
    <row r="9" spans="1:7" ht="24.75" customHeight="1">
      <c r="A9" s="203">
        <v>3</v>
      </c>
      <c r="B9" s="158" t="s">
        <v>162</v>
      </c>
      <c r="C9" s="191" t="s">
        <v>156</v>
      </c>
      <c r="D9" s="198"/>
      <c r="E9" s="158">
        <v>1</v>
      </c>
      <c r="F9" s="158"/>
      <c r="G9" s="158"/>
    </row>
    <row r="10" spans="1:7" ht="24.75" customHeight="1">
      <c r="A10" s="191">
        <v>4</v>
      </c>
      <c r="B10" s="158" t="s">
        <v>188</v>
      </c>
      <c r="C10" s="191" t="s">
        <v>156</v>
      </c>
      <c r="D10" s="200">
        <f>1/30</f>
        <v>0.03333333333333333</v>
      </c>
      <c r="E10" s="158"/>
      <c r="F10" s="158"/>
      <c r="G10" s="158"/>
    </row>
    <row r="11" spans="1:7" ht="24.75" customHeight="1">
      <c r="A11" s="203">
        <v>5</v>
      </c>
      <c r="B11" s="158" t="s">
        <v>198</v>
      </c>
      <c r="C11" s="191" t="s">
        <v>200</v>
      </c>
      <c r="D11" s="200"/>
      <c r="E11" s="158"/>
      <c r="F11" s="158"/>
      <c r="G11" s="158">
        <v>0.001</v>
      </c>
    </row>
    <row r="12" spans="1:7" ht="24.75" customHeight="1">
      <c r="A12" s="191">
        <v>6</v>
      </c>
      <c r="B12" s="158" t="s">
        <v>199</v>
      </c>
      <c r="C12" s="207" t="s">
        <v>201</v>
      </c>
      <c r="D12" s="208"/>
      <c r="E12" s="178"/>
      <c r="F12" s="178"/>
      <c r="G12" s="208">
        <f>4/30</f>
        <v>0.13333333333333333</v>
      </c>
    </row>
    <row r="13" spans="1:7" ht="19.5" customHeight="1">
      <c r="A13" s="141"/>
      <c r="B13" s="161"/>
      <c r="C13" s="162"/>
      <c r="D13" s="162"/>
      <c r="E13" s="162"/>
      <c r="F13" s="162"/>
      <c r="G13" s="162"/>
    </row>
    <row r="14" ht="11.25" customHeight="1"/>
  </sheetData>
  <sheetProtection/>
  <mergeCells count="8">
    <mergeCell ref="E4:E6"/>
    <mergeCell ref="F4:F6"/>
    <mergeCell ref="G4:G6"/>
    <mergeCell ref="A2:G2"/>
    <mergeCell ref="A4:A6"/>
    <mergeCell ref="B4:B6"/>
    <mergeCell ref="C4:C6"/>
    <mergeCell ref="D4:D6"/>
  </mergeCells>
  <printOptions/>
  <pageMargins left="1.1023622047244095" right="0.9055118110236221" top="0.7480314960629921" bottom="0.7480314960629921" header="0.31496062992125984" footer="0.31496062992125984"/>
  <pageSetup firstPageNumber="29" useFirstPageNumber="1" horizontalDpi="600" verticalDpi="600" orientation="landscape" paperSize="9" r:id="rId1"/>
  <headerFooter alignWithMargins="0">
    <oddFooter>&amp;CTrang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"/>
  <sheetViews>
    <sheetView zoomScalePageLayoutView="0" workbookViewId="0" topLeftCell="A1">
      <selection activeCell="G5" sqref="G5"/>
    </sheetView>
  </sheetViews>
  <sheetFormatPr defaultColWidth="8.72265625" defaultRowHeight="16.5"/>
  <cols>
    <col min="1" max="1" width="4.99609375" style="127" customWidth="1"/>
    <col min="2" max="2" width="17.99609375" style="3" customWidth="1"/>
    <col min="3" max="3" width="12.36328125" style="3" customWidth="1"/>
    <col min="4" max="4" width="11.99609375" style="3" customWidth="1"/>
    <col min="5" max="5" width="16.453125" style="3" customWidth="1"/>
    <col min="6" max="6" width="13.453125" style="3" customWidth="1"/>
    <col min="7" max="7" width="11.0859375" style="3" customWidth="1"/>
    <col min="8" max="8" width="15.6328125" style="3" customWidth="1"/>
    <col min="9" max="9" width="12.8125" style="3" customWidth="1"/>
    <col min="10" max="16384" width="8.90625" style="3" customWidth="1"/>
  </cols>
  <sheetData>
    <row r="1" spans="6:9" ht="16.5">
      <c r="F1" s="128"/>
      <c r="I1" s="228" t="s">
        <v>157</v>
      </c>
    </row>
    <row r="2" spans="1:9" ht="36" customHeight="1">
      <c r="A2" s="580" t="s">
        <v>179</v>
      </c>
      <c r="B2" s="580"/>
      <c r="C2" s="580"/>
      <c r="D2" s="580"/>
      <c r="E2" s="580"/>
      <c r="F2" s="580"/>
      <c r="G2" s="580"/>
      <c r="H2" s="580"/>
      <c r="I2" s="580"/>
    </row>
    <row r="3" spans="1:9" ht="85.5" customHeight="1">
      <c r="A3" s="229" t="s">
        <v>147</v>
      </c>
      <c r="B3" s="230" t="s">
        <v>148</v>
      </c>
      <c r="C3" s="230" t="s">
        <v>3</v>
      </c>
      <c r="D3" s="163" t="s">
        <v>149</v>
      </c>
      <c r="E3" s="231" t="s">
        <v>226</v>
      </c>
      <c r="F3" s="231" t="s">
        <v>227</v>
      </c>
      <c r="G3" s="231" t="s">
        <v>228</v>
      </c>
      <c r="H3" s="231" t="s">
        <v>229</v>
      </c>
      <c r="I3" s="163" t="s">
        <v>230</v>
      </c>
    </row>
    <row r="4" spans="1:9" ht="24.75" customHeight="1">
      <c r="A4" s="130">
        <v>1</v>
      </c>
      <c r="B4" s="131" t="s">
        <v>154</v>
      </c>
      <c r="C4" s="132" t="s">
        <v>155</v>
      </c>
      <c r="D4" s="151">
        <v>1</v>
      </c>
      <c r="E4" s="189">
        <f>1.15/30</f>
        <v>0.03833333333333333</v>
      </c>
      <c r="F4" s="134"/>
      <c r="G4" s="134">
        <f>'[2]THIETBI'!$F$6</f>
        <v>0.01</v>
      </c>
      <c r="H4" s="134">
        <v>0.11</v>
      </c>
      <c r="I4" s="134">
        <f>'[2]THIETBI'!$H$6</f>
        <v>0.05</v>
      </c>
    </row>
    <row r="5" spans="1:9" ht="24.75" customHeight="1">
      <c r="A5" s="136">
        <v>2</v>
      </c>
      <c r="B5" s="137" t="s">
        <v>175</v>
      </c>
      <c r="C5" s="138" t="s">
        <v>156</v>
      </c>
      <c r="D5" s="180">
        <v>1</v>
      </c>
      <c r="E5" s="139"/>
      <c r="F5" s="139">
        <f>'[2]THIETBI'!$E$7</f>
        <v>0.22</v>
      </c>
      <c r="G5" s="139"/>
      <c r="H5" s="139"/>
      <c r="I5" s="139"/>
    </row>
    <row r="6" spans="1:9" ht="24.75" customHeight="1">
      <c r="A6" s="184">
        <v>3</v>
      </c>
      <c r="B6" s="137" t="s">
        <v>187</v>
      </c>
      <c r="C6" s="184" t="s">
        <v>156</v>
      </c>
      <c r="D6" s="137">
        <v>2</v>
      </c>
      <c r="E6" s="137">
        <v>0.07</v>
      </c>
      <c r="F6" s="137"/>
      <c r="G6" s="137"/>
      <c r="H6" s="137">
        <f>0.07</f>
        <v>0.07</v>
      </c>
      <c r="I6" s="137"/>
    </row>
    <row r="7" spans="1:9" ht="24.75" customHeight="1">
      <c r="A7" s="141"/>
      <c r="B7" s="142"/>
      <c r="C7" s="186"/>
      <c r="D7" s="187"/>
      <c r="E7" s="187"/>
      <c r="F7" s="187"/>
      <c r="G7" s="187"/>
      <c r="H7" s="187"/>
      <c r="I7" s="187"/>
    </row>
  </sheetData>
  <sheetProtection/>
  <mergeCells count="1">
    <mergeCell ref="A2:I2"/>
  </mergeCells>
  <printOptions/>
  <pageMargins left="0.4724409448818898" right="0.4724409448818898" top="0.7480314960629921" bottom="0.7480314960629921" header="0.31496062992125984" footer="0.31496062992125984"/>
  <pageSetup firstPageNumber="30" useFirstPageNumber="1" horizontalDpi="600" verticalDpi="600" orientation="landscape" paperSize="9" scale="90" r:id="rId1"/>
  <headerFooter alignWithMargins="0">
    <oddFooter>&amp;CTrang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9" sqref="E9"/>
    </sheetView>
  </sheetViews>
  <sheetFormatPr defaultColWidth="8.72265625" defaultRowHeight="16.5"/>
  <cols>
    <col min="1" max="1" width="4.90625" style="53" customWidth="1"/>
    <col min="2" max="2" width="41.6328125" style="50" customWidth="1"/>
    <col min="3" max="3" width="11.90625" style="53" customWidth="1"/>
    <col min="4" max="4" width="13.99609375" style="53" customWidth="1"/>
    <col min="5" max="5" width="33.18359375" style="50" customWidth="1"/>
    <col min="6" max="16384" width="8.90625" style="50" customWidth="1"/>
  </cols>
  <sheetData>
    <row r="1" ht="18.75">
      <c r="E1" s="224" t="s">
        <v>205</v>
      </c>
    </row>
    <row r="2" spans="1:5" ht="24" customHeight="1">
      <c r="A2" s="529" t="s">
        <v>57</v>
      </c>
      <c r="B2" s="530"/>
      <c r="C2" s="530"/>
      <c r="D2" s="530"/>
      <c r="E2" s="531"/>
    </row>
    <row r="3" spans="1:5" ht="19.5" customHeight="1">
      <c r="A3" s="222"/>
      <c r="B3" s="223"/>
      <c r="C3" s="222"/>
      <c r="D3" s="222"/>
      <c r="E3" s="223"/>
    </row>
    <row r="4" spans="1:5" s="51" customFormat="1" ht="24.75" customHeight="1">
      <c r="A4" s="45" t="s">
        <v>0</v>
      </c>
      <c r="B4" s="45" t="s">
        <v>58</v>
      </c>
      <c r="C4" s="45" t="s">
        <v>3</v>
      </c>
      <c r="D4" s="45" t="s">
        <v>59</v>
      </c>
      <c r="E4" s="45" t="s">
        <v>4</v>
      </c>
    </row>
    <row r="5" spans="1:5" s="52" customFormat="1" ht="21" customHeight="1">
      <c r="A5" s="212">
        <v>1</v>
      </c>
      <c r="B5" s="213" t="s">
        <v>60</v>
      </c>
      <c r="C5" s="212" t="s">
        <v>61</v>
      </c>
      <c r="D5" s="214">
        <v>1300000</v>
      </c>
      <c r="E5" s="213"/>
    </row>
    <row r="6" spans="1:5" s="52" customFormat="1" ht="21" customHeight="1">
      <c r="A6" s="212">
        <v>2</v>
      </c>
      <c r="B6" s="213" t="s">
        <v>62</v>
      </c>
      <c r="C6" s="212" t="s">
        <v>63</v>
      </c>
      <c r="D6" s="214">
        <v>11</v>
      </c>
      <c r="E6" s="213" t="s">
        <v>64</v>
      </c>
    </row>
    <row r="7" spans="1:5" s="52" customFormat="1" ht="21" customHeight="1">
      <c r="A7" s="212">
        <v>3</v>
      </c>
      <c r="B7" s="213" t="s">
        <v>65</v>
      </c>
      <c r="C7" s="212"/>
      <c r="D7" s="214">
        <v>0.4</v>
      </c>
      <c r="E7" s="213" t="s">
        <v>66</v>
      </c>
    </row>
    <row r="8" spans="1:5" s="52" customFormat="1" ht="21" customHeight="1">
      <c r="A8" s="212">
        <v>4</v>
      </c>
      <c r="B8" s="213" t="s">
        <v>67</v>
      </c>
      <c r="C8" s="212"/>
      <c r="D8" s="214">
        <v>0.2</v>
      </c>
      <c r="E8" s="213" t="s">
        <v>68</v>
      </c>
    </row>
    <row r="9" spans="1:5" s="52" customFormat="1" ht="21" customHeight="1">
      <c r="A9" s="212">
        <v>5</v>
      </c>
      <c r="B9" s="213" t="s">
        <v>69</v>
      </c>
      <c r="C9" s="212"/>
      <c r="D9" s="214">
        <v>0.2</v>
      </c>
      <c r="E9" s="213" t="s">
        <v>66</v>
      </c>
    </row>
    <row r="10" spans="1:5" s="52" customFormat="1" ht="21" customHeight="1">
      <c r="A10" s="212">
        <v>6</v>
      </c>
      <c r="B10" s="213" t="s">
        <v>70</v>
      </c>
      <c r="C10" s="212" t="s">
        <v>63</v>
      </c>
      <c r="D10" s="214">
        <v>23.5</v>
      </c>
      <c r="E10" s="213" t="s">
        <v>64</v>
      </c>
    </row>
    <row r="11" spans="1:5" s="52" customFormat="1" ht="21" customHeight="1">
      <c r="A11" s="212">
        <v>7</v>
      </c>
      <c r="B11" s="213" t="s">
        <v>71</v>
      </c>
      <c r="C11" s="212" t="s">
        <v>24</v>
      </c>
      <c r="D11" s="214">
        <v>26</v>
      </c>
      <c r="E11" s="213"/>
    </row>
    <row r="12" spans="1:5" s="52" customFormat="1" ht="21" customHeight="1" hidden="1">
      <c r="A12" s="212">
        <v>8</v>
      </c>
      <c r="B12" s="213" t="s">
        <v>72</v>
      </c>
      <c r="C12" s="212" t="s">
        <v>73</v>
      </c>
      <c r="D12" s="214">
        <v>100000</v>
      </c>
      <c r="E12" s="213"/>
    </row>
    <row r="13" spans="1:5" s="52" customFormat="1" ht="21" customHeight="1" hidden="1">
      <c r="A13" s="212">
        <v>9</v>
      </c>
      <c r="B13" s="213" t="s">
        <v>74</v>
      </c>
      <c r="C13" s="212" t="s">
        <v>73</v>
      </c>
      <c r="D13" s="214">
        <v>120000</v>
      </c>
      <c r="E13" s="213"/>
    </row>
    <row r="14" spans="1:5" s="52" customFormat="1" ht="21" customHeight="1">
      <c r="A14" s="212">
        <v>8</v>
      </c>
      <c r="B14" s="213" t="s">
        <v>75</v>
      </c>
      <c r="C14" s="212"/>
      <c r="D14" s="214">
        <v>1.25</v>
      </c>
      <c r="E14" s="213" t="s">
        <v>76</v>
      </c>
    </row>
    <row r="15" spans="1:5" s="46" customFormat="1" ht="18.75" customHeight="1">
      <c r="A15" s="212">
        <v>9</v>
      </c>
      <c r="B15" s="215" t="s">
        <v>77</v>
      </c>
      <c r="C15" s="216"/>
      <c r="D15" s="217">
        <v>1</v>
      </c>
      <c r="E15" s="215"/>
    </row>
    <row r="16" spans="1:5" s="46" customFormat="1" ht="18.75" customHeight="1">
      <c r="A16" s="216">
        <v>10</v>
      </c>
      <c r="B16" s="215" t="s">
        <v>78</v>
      </c>
      <c r="C16" s="216"/>
      <c r="D16" s="217"/>
      <c r="E16" s="215"/>
    </row>
    <row r="17" spans="1:5" s="46" customFormat="1" ht="18.75" customHeight="1">
      <c r="A17" s="216"/>
      <c r="B17" s="215" t="s">
        <v>79</v>
      </c>
      <c r="C17" s="216" t="s">
        <v>63</v>
      </c>
      <c r="D17" s="217">
        <v>70</v>
      </c>
      <c r="E17" s="532" t="s">
        <v>80</v>
      </c>
    </row>
    <row r="18" spans="1:5" s="46" customFormat="1" ht="18.75" customHeight="1">
      <c r="A18" s="216"/>
      <c r="B18" s="215" t="s">
        <v>81</v>
      </c>
      <c r="C18" s="216" t="s">
        <v>63</v>
      </c>
      <c r="D18" s="217">
        <v>70</v>
      </c>
      <c r="E18" s="532"/>
    </row>
    <row r="19" spans="1:5" s="46" customFormat="1" ht="21.75" customHeight="1">
      <c r="A19" s="216">
        <v>11</v>
      </c>
      <c r="B19" s="215" t="s">
        <v>82</v>
      </c>
      <c r="C19" s="216" t="s">
        <v>73</v>
      </c>
      <c r="D19" s="217">
        <f>D20+D21</f>
        <v>8500</v>
      </c>
      <c r="E19" s="532" t="s">
        <v>83</v>
      </c>
    </row>
    <row r="20" spans="1:5" s="46" customFormat="1" ht="21.75" customHeight="1">
      <c r="A20" s="216"/>
      <c r="B20" s="218" t="s">
        <v>84</v>
      </c>
      <c r="C20" s="216" t="s">
        <v>73</v>
      </c>
      <c r="D20" s="217">
        <f>D5*0.1/D11*1*D15</f>
        <v>5000</v>
      </c>
      <c r="E20" s="532"/>
    </row>
    <row r="21" spans="1:5" s="46" customFormat="1" ht="21.75" customHeight="1">
      <c r="A21" s="216"/>
      <c r="B21" s="218" t="s">
        <v>85</v>
      </c>
      <c r="C21" s="216" t="s">
        <v>73</v>
      </c>
      <c r="D21" s="217">
        <f>D5*0.1/D11*D17/100*D15</f>
        <v>3500</v>
      </c>
      <c r="E21" s="532"/>
    </row>
    <row r="22" spans="1:5" s="44" customFormat="1" ht="21.75" customHeight="1">
      <c r="A22" s="216">
        <v>12</v>
      </c>
      <c r="B22" s="215" t="s">
        <v>86</v>
      </c>
      <c r="C22" s="216" t="s">
        <v>73</v>
      </c>
      <c r="D22" s="217">
        <f>D23+D24</f>
        <v>8500</v>
      </c>
      <c r="E22" s="532"/>
    </row>
    <row r="23" spans="1:5" s="44" customFormat="1" ht="21.75" customHeight="1">
      <c r="A23" s="216"/>
      <c r="B23" s="218" t="s">
        <v>84</v>
      </c>
      <c r="C23" s="216" t="s">
        <v>73</v>
      </c>
      <c r="D23" s="219">
        <f>D5*0.1/D11*1*D15</f>
        <v>5000</v>
      </c>
      <c r="E23" s="532"/>
    </row>
    <row r="24" spans="1:5" s="44" customFormat="1" ht="21.75" customHeight="1">
      <c r="A24" s="216"/>
      <c r="B24" s="218" t="s">
        <v>85</v>
      </c>
      <c r="C24" s="216" t="s">
        <v>73</v>
      </c>
      <c r="D24" s="219">
        <f>D5*0.1/D11*D18/100*D15</f>
        <v>3500</v>
      </c>
      <c r="E24" s="532"/>
    </row>
    <row r="25" spans="1:5" ht="19.5" customHeight="1">
      <c r="A25" s="210"/>
      <c r="B25" s="211"/>
      <c r="C25" s="210"/>
      <c r="D25" s="210"/>
      <c r="E25" s="211"/>
    </row>
    <row r="26" spans="1:5" ht="16.5">
      <c r="A26" s="221"/>
      <c r="B26" s="220"/>
      <c r="C26" s="221"/>
      <c r="D26" s="221"/>
      <c r="E26" s="220"/>
    </row>
  </sheetData>
  <sheetProtection/>
  <mergeCells count="3">
    <mergeCell ref="A2:E2"/>
    <mergeCell ref="E17:E18"/>
    <mergeCell ref="E19:E24"/>
  </mergeCells>
  <printOptions/>
  <pageMargins left="0.7086614173228347" right="0.7086614173228347" top="0.7480314960629921" bottom="0.7480314960629921" header="0.31496062992125984" footer="0.31496062992125984"/>
  <pageSetup firstPageNumber="12" useFirstPageNumber="1" horizontalDpi="600" verticalDpi="600" orientation="landscape" paperSize="9" scale="95" r:id="rId1"/>
  <headerFooter alignWithMargins="0">
    <oddFooter>&amp;CTrang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73"/>
  <sheetViews>
    <sheetView tabSelected="1" workbookViewId="0" topLeftCell="B1">
      <selection activeCell="L55" sqref="L55"/>
    </sheetView>
  </sheetViews>
  <sheetFormatPr defaultColWidth="8.72265625" defaultRowHeight="16.5"/>
  <cols>
    <col min="1" max="1" width="3.453125" style="285" customWidth="1"/>
    <col min="2" max="2" width="33.8125" style="286" customWidth="1"/>
    <col min="3" max="3" width="7.99609375" style="286" customWidth="1"/>
    <col min="4" max="4" width="7.18359375" style="285" customWidth="1"/>
    <col min="5" max="5" width="11.99609375" style="287" bestFit="1" customWidth="1"/>
    <col min="6" max="6" width="8.8125" style="287" hidden="1" customWidth="1"/>
    <col min="7" max="7" width="1.35546875" style="287" hidden="1" customWidth="1"/>
    <col min="8" max="8" width="7.99609375" style="287" customWidth="1"/>
    <col min="9" max="9" width="9.8125" style="287" customWidth="1"/>
    <col min="10" max="10" width="9.36328125" style="287" customWidth="1"/>
    <col min="11" max="11" width="11.54296875" style="287" hidden="1" customWidth="1"/>
    <col min="12" max="12" width="11.36328125" style="287" customWidth="1"/>
    <col min="13" max="13" width="9.99609375" style="287" customWidth="1"/>
    <col min="14" max="14" width="10.90625" style="425" customWidth="1"/>
    <col min="15" max="15" width="8.54296875" style="288" customWidth="1"/>
    <col min="16" max="17" width="9.36328125" style="288" customWidth="1"/>
    <col min="18" max="18" width="9.18359375" style="289" customWidth="1"/>
    <col min="19" max="16384" width="8.90625" style="287" customWidth="1"/>
  </cols>
  <sheetData>
    <row r="1" spans="14:15" ht="16.5">
      <c r="N1" s="543" t="s">
        <v>211</v>
      </c>
      <c r="O1" s="543"/>
    </row>
    <row r="2" spans="1:18" s="293" customFormat="1" ht="27" customHeight="1">
      <c r="A2" s="526" t="s">
        <v>206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290" t="s">
        <v>99</v>
      </c>
      <c r="Q2" s="291">
        <v>0</v>
      </c>
      <c r="R2" s="292"/>
    </row>
    <row r="3" spans="1:18" s="293" customFormat="1" ht="17.25" customHeight="1">
      <c r="A3" s="294"/>
      <c r="B3" s="295"/>
      <c r="C3" s="296"/>
      <c r="D3" s="297"/>
      <c r="M3" s="538" t="s">
        <v>100</v>
      </c>
      <c r="N3" s="538"/>
      <c r="O3" s="538"/>
      <c r="P3" s="298"/>
      <c r="Q3" s="298"/>
      <c r="R3" s="292"/>
    </row>
    <row r="4" spans="1:18" s="293" customFormat="1" ht="22.5" customHeight="1">
      <c r="A4" s="539" t="s">
        <v>44</v>
      </c>
      <c r="B4" s="540" t="s">
        <v>101</v>
      </c>
      <c r="C4" s="541" t="s">
        <v>209</v>
      </c>
      <c r="D4" s="539" t="s">
        <v>112</v>
      </c>
      <c r="E4" s="540" t="s">
        <v>96</v>
      </c>
      <c r="F4" s="540"/>
      <c r="G4" s="540"/>
      <c r="H4" s="540"/>
      <c r="I4" s="540"/>
      <c r="J4" s="540"/>
      <c r="K4" s="540"/>
      <c r="L4" s="540"/>
      <c r="M4" s="541" t="s">
        <v>145</v>
      </c>
      <c r="N4" s="540" t="s">
        <v>197</v>
      </c>
      <c r="O4" s="540" t="s">
        <v>102</v>
      </c>
      <c r="P4" s="540" t="s">
        <v>103</v>
      </c>
      <c r="Q4" s="533" t="s">
        <v>104</v>
      </c>
      <c r="R4" s="533" t="s">
        <v>111</v>
      </c>
    </row>
    <row r="5" spans="1:18" s="293" customFormat="1" ht="60.75" customHeight="1">
      <c r="A5" s="539"/>
      <c r="B5" s="540"/>
      <c r="C5" s="542"/>
      <c r="D5" s="539"/>
      <c r="E5" s="299" t="s">
        <v>105</v>
      </c>
      <c r="F5" s="299" t="s">
        <v>106</v>
      </c>
      <c r="G5" s="299" t="s">
        <v>107</v>
      </c>
      <c r="H5" s="299" t="s">
        <v>95</v>
      </c>
      <c r="I5" s="299" t="s">
        <v>108</v>
      </c>
      <c r="J5" s="299" t="s">
        <v>178</v>
      </c>
      <c r="K5" s="299" t="s">
        <v>109</v>
      </c>
      <c r="L5" s="299" t="s">
        <v>93</v>
      </c>
      <c r="M5" s="542"/>
      <c r="N5" s="540"/>
      <c r="O5" s="540"/>
      <c r="P5" s="540"/>
      <c r="Q5" s="533"/>
      <c r="R5" s="533"/>
    </row>
    <row r="6" spans="1:18" s="306" customFormat="1" ht="35.25" customHeight="1">
      <c r="A6" s="300" t="s">
        <v>1</v>
      </c>
      <c r="B6" s="301" t="s">
        <v>203</v>
      </c>
      <c r="C6" s="302"/>
      <c r="D6" s="303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5"/>
    </row>
    <row r="7" spans="1:18" s="293" customFormat="1" ht="21" customHeight="1">
      <c r="A7" s="307" t="s">
        <v>21</v>
      </c>
      <c r="B7" s="308" t="s">
        <v>91</v>
      </c>
      <c r="C7" s="309" t="s">
        <v>97</v>
      </c>
      <c r="D7" s="310" t="s">
        <v>113</v>
      </c>
      <c r="E7" s="311" t="e">
        <f>2_NHANCONGTOANĐAC!G5</f>
        <v>#VALUE!</v>
      </c>
      <c r="F7" s="311"/>
      <c r="G7" s="311">
        <f>P7*$Q$2*10</f>
        <v>0</v>
      </c>
      <c r="H7" s="311"/>
      <c r="I7" s="311"/>
      <c r="J7" s="311"/>
      <c r="K7" s="311"/>
      <c r="L7" s="311" t="e">
        <f>SUM(E7:K7)</f>
        <v>#VALUE!</v>
      </c>
      <c r="M7" s="311" t="e">
        <f>E7*'He so chung'!$D$17/100</f>
        <v>#VALUE!</v>
      </c>
      <c r="N7" s="312" t="e">
        <f>M7+L7</f>
        <v>#VALUE!</v>
      </c>
      <c r="O7" s="311">
        <f>P7+Q7</f>
        <v>306</v>
      </c>
      <c r="P7" s="311">
        <f>R7*'He so chung'!D23</f>
        <v>180</v>
      </c>
      <c r="Q7" s="311">
        <f>R7*'He so chung'!D24</f>
        <v>125.99999999999999</v>
      </c>
      <c r="R7" s="313">
        <f>2_NHANCONGTOANĐAC!F5</f>
        <v>0.036</v>
      </c>
    </row>
    <row r="8" spans="1:18" s="293" customFormat="1" ht="15.75" customHeight="1">
      <c r="A8" s="307"/>
      <c r="B8" s="314"/>
      <c r="C8" s="309"/>
      <c r="D8" s="310"/>
      <c r="E8" s="311"/>
      <c r="F8" s="312"/>
      <c r="G8" s="312"/>
      <c r="H8" s="312"/>
      <c r="I8" s="312"/>
      <c r="J8" s="312"/>
      <c r="K8" s="312"/>
      <c r="L8" s="311"/>
      <c r="M8" s="311"/>
      <c r="N8" s="312"/>
      <c r="O8" s="315">
        <f>'He so chung'!D19</f>
        <v>8500</v>
      </c>
      <c r="P8" s="315">
        <f>'He so chung'!D20</f>
        <v>5000</v>
      </c>
      <c r="Q8" s="315">
        <f>'He so chung'!D21</f>
        <v>3500</v>
      </c>
      <c r="R8" s="316"/>
    </row>
    <row r="9" spans="1:18" s="293" customFormat="1" ht="16.5">
      <c r="A9" s="307" t="s">
        <v>19</v>
      </c>
      <c r="B9" s="308" t="s">
        <v>94</v>
      </c>
      <c r="C9" s="317" t="s">
        <v>97</v>
      </c>
      <c r="D9" s="318" t="s">
        <v>113</v>
      </c>
      <c r="E9" s="312" t="e">
        <f>2_NHANCONGTOANĐAC!G6</f>
        <v>#VALUE!</v>
      </c>
      <c r="F9" s="312"/>
      <c r="G9" s="311">
        <f>P9*$Q$2*10</f>
        <v>0</v>
      </c>
      <c r="H9" s="312"/>
      <c r="I9" s="312"/>
      <c r="J9" s="312"/>
      <c r="K9" s="312"/>
      <c r="L9" s="311" t="e">
        <f>SUM(E9:K9)</f>
        <v>#VALUE!</v>
      </c>
      <c r="M9" s="311" t="e">
        <f>E9*'He so chung'!$D$18/100</f>
        <v>#VALUE!</v>
      </c>
      <c r="N9" s="312" t="e">
        <f>M9+L9</f>
        <v>#VALUE!</v>
      </c>
      <c r="O9" s="311">
        <f>P9+Q9</f>
        <v>88.54166666666666</v>
      </c>
      <c r="P9" s="315">
        <f>R9*'He so chung'!D23</f>
        <v>52.08333333333333</v>
      </c>
      <c r="Q9" s="315">
        <f>R9*'He so chung'!D24</f>
        <v>36.45833333333333</v>
      </c>
      <c r="R9" s="316">
        <f>2_NHANCONGTOANĐAC!F6</f>
        <v>0.010416666666666666</v>
      </c>
    </row>
    <row r="10" spans="1:18" s="293" customFormat="1" ht="16.5">
      <c r="A10" s="307"/>
      <c r="B10" s="314"/>
      <c r="C10" s="317"/>
      <c r="D10" s="318"/>
      <c r="E10" s="312"/>
      <c r="F10" s="312"/>
      <c r="G10" s="312"/>
      <c r="H10" s="312"/>
      <c r="I10" s="312"/>
      <c r="J10" s="312"/>
      <c r="K10" s="312"/>
      <c r="L10" s="311"/>
      <c r="M10" s="311"/>
      <c r="N10" s="312"/>
      <c r="O10" s="315"/>
      <c r="P10" s="315"/>
      <c r="Q10" s="315"/>
      <c r="R10" s="316"/>
    </row>
    <row r="11" spans="1:18" s="293" customFormat="1" ht="16.5">
      <c r="A11" s="319">
        <v>3</v>
      </c>
      <c r="B11" s="308" t="s">
        <v>88</v>
      </c>
      <c r="C11" s="317" t="s">
        <v>208</v>
      </c>
      <c r="D11" s="318" t="s">
        <v>113</v>
      </c>
      <c r="E11" s="312" t="e">
        <f>2_NHANCONGTOANĐAC!G7</f>
        <v>#VALUE!</v>
      </c>
      <c r="F11" s="312"/>
      <c r="G11" s="311">
        <f>P11*$Q$2*10</f>
        <v>0</v>
      </c>
      <c r="H11" s="312"/>
      <c r="I11" s="312"/>
      <c r="J11" s="312"/>
      <c r="K11" s="312"/>
      <c r="L11" s="311" t="e">
        <f>SUM(E11:K11)</f>
        <v>#VALUE!</v>
      </c>
      <c r="M11" s="311" t="e">
        <f>E11*'He so chung'!$D$18/100</f>
        <v>#VALUE!</v>
      </c>
      <c r="N11" s="312" t="e">
        <f>M11+L11</f>
        <v>#VALUE!</v>
      </c>
      <c r="O11" s="311">
        <f>P11+Q11</f>
        <v>177.08333333333331</v>
      </c>
      <c r="P11" s="315">
        <f>R11*'He so chung'!D23</f>
        <v>104.16666666666666</v>
      </c>
      <c r="Q11" s="315">
        <f>R11*'He so chung'!D24</f>
        <v>72.91666666666666</v>
      </c>
      <c r="R11" s="316">
        <f>2_NHANCONGTOANĐAC!F7</f>
        <v>0.020833333333333332</v>
      </c>
    </row>
    <row r="12" spans="1:18" s="293" customFormat="1" ht="13.5" customHeight="1">
      <c r="A12" s="320"/>
      <c r="B12" s="314"/>
      <c r="C12" s="321"/>
      <c r="D12" s="318"/>
      <c r="E12" s="312"/>
      <c r="F12" s="312"/>
      <c r="G12" s="312"/>
      <c r="H12" s="312"/>
      <c r="I12" s="312"/>
      <c r="J12" s="312"/>
      <c r="K12" s="312"/>
      <c r="L12" s="311"/>
      <c r="M12" s="311"/>
      <c r="N12" s="312"/>
      <c r="O12" s="315"/>
      <c r="P12" s="315"/>
      <c r="Q12" s="315"/>
      <c r="R12" s="316"/>
    </row>
    <row r="13" spans="1:18" s="293" customFormat="1" ht="22.5" customHeight="1">
      <c r="A13" s="319">
        <v>4</v>
      </c>
      <c r="B13" s="322" t="s">
        <v>120</v>
      </c>
      <c r="C13" s="317" t="s">
        <v>97</v>
      </c>
      <c r="D13" s="318"/>
      <c r="E13" s="312"/>
      <c r="F13" s="312"/>
      <c r="G13" s="312"/>
      <c r="H13" s="312"/>
      <c r="I13" s="312"/>
      <c r="J13" s="312"/>
      <c r="K13" s="312"/>
      <c r="L13" s="311"/>
      <c r="M13" s="311"/>
      <c r="N13" s="312"/>
      <c r="O13" s="315"/>
      <c r="P13" s="315"/>
      <c r="Q13" s="315"/>
      <c r="R13" s="316"/>
    </row>
    <row r="14" spans="1:18" s="293" customFormat="1" ht="16.5">
      <c r="A14" s="307"/>
      <c r="B14" s="314"/>
      <c r="C14" s="317" t="s">
        <v>97</v>
      </c>
      <c r="D14" s="318" t="s">
        <v>21</v>
      </c>
      <c r="E14" s="312" t="e">
        <f>2_NHANCONGTOANĐAC!G9</f>
        <v>#VALUE!</v>
      </c>
      <c r="F14" s="312"/>
      <c r="G14" s="311">
        <f aca="true" t="shared" si="0" ref="G14:G19">P14*$Q$2*10</f>
        <v>0</v>
      </c>
      <c r="H14" s="312">
        <f>'3-DUNGCU'!$H$16*'3-DUNGCU'!C19</f>
        <v>117.82905982905984</v>
      </c>
      <c r="I14" s="312">
        <f>'4-VLIEU'!$F$13*'4-VLIEU'!C16</f>
        <v>629.9999999999999</v>
      </c>
      <c r="J14" s="312">
        <f>('5-THIETBI'!$H$7+'5-THIETBI'!$H$10)*'5-THIETBI'!C14</f>
        <v>2461.2</v>
      </c>
      <c r="K14" s="312"/>
      <c r="L14" s="311" t="e">
        <f aca="true" t="shared" si="1" ref="L14:L19">SUM(E14:K14)</f>
        <v>#VALUE!</v>
      </c>
      <c r="M14" s="311" t="e">
        <f>E14*'He so chung'!$D$18/100</f>
        <v>#VALUE!</v>
      </c>
      <c r="N14" s="312" t="e">
        <f aca="true" t="shared" si="2" ref="N14:N19">M14+L14</f>
        <v>#VALUE!</v>
      </c>
      <c r="O14" s="311">
        <f aca="true" t="shared" si="3" ref="O14:O19">P14+Q14</f>
        <v>1473.3333333333335</v>
      </c>
      <c r="P14" s="315">
        <f aca="true" t="shared" si="4" ref="P14:P19">R14*$P$8</f>
        <v>866.6666666666667</v>
      </c>
      <c r="Q14" s="315">
        <f aca="true" t="shared" si="5" ref="Q14:Q19">R14*$Q$8</f>
        <v>606.6666666666667</v>
      </c>
      <c r="R14" s="316">
        <f>2_NHANCONGTOANĐAC!F9</f>
        <v>0.17333333333333334</v>
      </c>
    </row>
    <row r="15" spans="1:18" s="293" customFormat="1" ht="16.5">
      <c r="A15" s="307"/>
      <c r="B15" s="314"/>
      <c r="C15" s="317" t="s">
        <v>97</v>
      </c>
      <c r="D15" s="318" t="s">
        <v>19</v>
      </c>
      <c r="E15" s="312" t="e">
        <f>2_NHANCONGTOANĐAC!G10</f>
        <v>#VALUE!</v>
      </c>
      <c r="F15" s="312"/>
      <c r="G15" s="311">
        <f t="shared" si="0"/>
        <v>0</v>
      </c>
      <c r="H15" s="312">
        <f>'3-DUNGCU'!$H$16*'3-DUNGCU'!C20</f>
        <v>132.55769230769232</v>
      </c>
      <c r="I15" s="312">
        <f>'4-VLIEU'!$F$13*'4-VLIEU'!C17</f>
        <v>764.9999999999999</v>
      </c>
      <c r="J15" s="312">
        <f>('5-THIETBI'!$H$7+'5-THIETBI'!$H$10)*'5-THIETBI'!C15</f>
        <v>2812.8</v>
      </c>
      <c r="K15" s="312"/>
      <c r="L15" s="311" t="e">
        <f t="shared" si="1"/>
        <v>#VALUE!</v>
      </c>
      <c r="M15" s="311" t="e">
        <f>E15*'He so chung'!$D$18/100</f>
        <v>#VALUE!</v>
      </c>
      <c r="N15" s="312" t="e">
        <f t="shared" si="2"/>
        <v>#VALUE!</v>
      </c>
      <c r="O15" s="311">
        <f t="shared" si="3"/>
        <v>1768</v>
      </c>
      <c r="P15" s="315">
        <f t="shared" si="4"/>
        <v>1040</v>
      </c>
      <c r="Q15" s="315">
        <f t="shared" si="5"/>
        <v>728</v>
      </c>
      <c r="R15" s="316">
        <f>2_NHANCONGTOANĐAC!F10</f>
        <v>0.208</v>
      </c>
    </row>
    <row r="16" spans="1:18" s="293" customFormat="1" ht="16.5">
      <c r="A16" s="307"/>
      <c r="B16" s="314"/>
      <c r="C16" s="317" t="s">
        <v>97</v>
      </c>
      <c r="D16" s="318" t="s">
        <v>5</v>
      </c>
      <c r="E16" s="312" t="e">
        <f>2_NHANCONGTOANĐAC!G11</f>
        <v>#VALUE!</v>
      </c>
      <c r="F16" s="312"/>
      <c r="G16" s="311">
        <f t="shared" si="0"/>
        <v>0</v>
      </c>
      <c r="H16" s="312">
        <f>'3-DUNGCU'!$H$16*'3-DUNGCU'!C21</f>
        <v>147.2863247863248</v>
      </c>
      <c r="I16" s="312">
        <f>'4-VLIEU'!$F$13*'4-VLIEU'!C18</f>
        <v>899.9999999999999</v>
      </c>
      <c r="J16" s="312">
        <f>('5-THIETBI'!$H$7+'5-THIETBI'!$H$10)*'5-THIETBI'!C16</f>
        <v>3516</v>
      </c>
      <c r="K16" s="312"/>
      <c r="L16" s="311" t="e">
        <f t="shared" si="1"/>
        <v>#VALUE!</v>
      </c>
      <c r="M16" s="311" t="e">
        <f>E16*'He so chung'!$D$18/100</f>
        <v>#VALUE!</v>
      </c>
      <c r="N16" s="312" t="e">
        <f t="shared" si="2"/>
        <v>#VALUE!</v>
      </c>
      <c r="O16" s="311">
        <f t="shared" si="3"/>
        <v>2121.6</v>
      </c>
      <c r="P16" s="315">
        <f t="shared" si="4"/>
        <v>1248</v>
      </c>
      <c r="Q16" s="315">
        <f t="shared" si="5"/>
        <v>873.5999999999999</v>
      </c>
      <c r="R16" s="316">
        <f>2_NHANCONGTOANĐAC!F11</f>
        <v>0.2496</v>
      </c>
    </row>
    <row r="17" spans="1:18" s="293" customFormat="1" ht="16.5">
      <c r="A17" s="307"/>
      <c r="B17" s="314"/>
      <c r="C17" s="317" t="s">
        <v>97</v>
      </c>
      <c r="D17" s="318" t="s">
        <v>16</v>
      </c>
      <c r="E17" s="312" t="e">
        <f>2_NHANCONGTOANĐAC!G12</f>
        <v>#VALUE!</v>
      </c>
      <c r="F17" s="312"/>
      <c r="G17" s="311">
        <f t="shared" si="0"/>
        <v>0</v>
      </c>
      <c r="H17" s="312">
        <f>'3-DUNGCU'!$H$16*'3-DUNGCU'!C22</f>
        <v>169.3792735042735</v>
      </c>
      <c r="I17" s="312">
        <f>'4-VLIEU'!$F$13*'4-VLIEU'!C19</f>
        <v>1124.9999999999998</v>
      </c>
      <c r="J17" s="312">
        <f>('5-THIETBI'!$H$7+'5-THIETBI'!$H$10)*'5-THIETBI'!C17</f>
        <v>4219.2</v>
      </c>
      <c r="K17" s="312"/>
      <c r="L17" s="311" t="e">
        <f t="shared" si="1"/>
        <v>#VALUE!</v>
      </c>
      <c r="M17" s="311" t="e">
        <f>E17*'He so chung'!$D$18/100</f>
        <v>#VALUE!</v>
      </c>
      <c r="N17" s="312" t="e">
        <f t="shared" si="2"/>
        <v>#VALUE!</v>
      </c>
      <c r="O17" s="311">
        <f t="shared" si="3"/>
        <v>2545.92</v>
      </c>
      <c r="P17" s="315">
        <f t="shared" si="4"/>
        <v>1497.6000000000001</v>
      </c>
      <c r="Q17" s="315">
        <f t="shared" si="5"/>
        <v>1048.32</v>
      </c>
      <c r="R17" s="316">
        <f>2_NHANCONGTOANĐAC!F12</f>
        <v>0.29952</v>
      </c>
    </row>
    <row r="18" spans="1:18" s="324" customFormat="1" ht="18" customHeight="1">
      <c r="A18" s="310"/>
      <c r="B18" s="323"/>
      <c r="C18" s="317" t="s">
        <v>97</v>
      </c>
      <c r="D18" s="318" t="s">
        <v>15</v>
      </c>
      <c r="E18" s="312" t="e">
        <f>2_NHANCONGTOANĐAC!G13</f>
        <v>#VALUE!</v>
      </c>
      <c r="F18" s="312"/>
      <c r="G18" s="311">
        <f t="shared" si="0"/>
        <v>0</v>
      </c>
      <c r="H18" s="312">
        <f>'3-DUNGCU'!$H$16*'3-DUNGCU'!C23</f>
        <v>176.74358974358975</v>
      </c>
      <c r="I18" s="312">
        <f>'4-VLIEU'!$F$13*'4-VLIEU'!C20</f>
        <v>1170</v>
      </c>
      <c r="J18" s="312">
        <f>('5-THIETBI'!$H$7+'5-THIETBI'!$H$10)*'5-THIETBI'!C18</f>
        <v>4570.8</v>
      </c>
      <c r="K18" s="312"/>
      <c r="L18" s="311" t="e">
        <f t="shared" si="1"/>
        <v>#VALUE!</v>
      </c>
      <c r="M18" s="311" t="e">
        <f>E18*'He so chung'!$D$18/100</f>
        <v>#VALUE!</v>
      </c>
      <c r="N18" s="312" t="e">
        <f t="shared" si="2"/>
        <v>#VALUE!</v>
      </c>
      <c r="O18" s="311">
        <f t="shared" si="3"/>
        <v>2799.3333333333326</v>
      </c>
      <c r="P18" s="315">
        <f t="shared" si="4"/>
        <v>1646.6666666666663</v>
      </c>
      <c r="Q18" s="315">
        <f t="shared" si="5"/>
        <v>1152.6666666666663</v>
      </c>
      <c r="R18" s="316">
        <f>2_NHANCONGTOANĐAC!F13</f>
        <v>0.32933333333333326</v>
      </c>
    </row>
    <row r="19" spans="1:18" s="293" customFormat="1" ht="16.5">
      <c r="A19" s="307"/>
      <c r="B19" s="314"/>
      <c r="C19" s="317" t="s">
        <v>97</v>
      </c>
      <c r="D19" s="318" t="s">
        <v>14</v>
      </c>
      <c r="E19" s="312" t="e">
        <f>2_NHANCONGTOANĐAC!G14</f>
        <v>#VALUE!</v>
      </c>
      <c r="F19" s="312"/>
      <c r="G19" s="311">
        <f t="shared" si="0"/>
        <v>0</v>
      </c>
      <c r="H19" s="312">
        <f>'3-DUNGCU'!$H$16*'3-DUNGCU'!C24</f>
        <v>184.107905982906</v>
      </c>
      <c r="I19" s="312">
        <f>'4-VLIEU'!$F$13*'4-VLIEU'!C21</f>
        <v>1215</v>
      </c>
      <c r="J19" s="312">
        <f>('5-THIETBI'!$H$7+'5-THIETBI'!$H$10)*'5-THIETBI'!C19</f>
        <v>4922.4</v>
      </c>
      <c r="K19" s="312"/>
      <c r="L19" s="311" t="e">
        <f t="shared" si="1"/>
        <v>#VALUE!</v>
      </c>
      <c r="M19" s="311" t="e">
        <f>E19*'He so chung'!$D$18/100</f>
        <v>#VALUE!</v>
      </c>
      <c r="N19" s="312" t="e">
        <f t="shared" si="2"/>
        <v>#VALUE!</v>
      </c>
      <c r="O19" s="311">
        <f t="shared" si="3"/>
        <v>2946.666666666667</v>
      </c>
      <c r="P19" s="315">
        <f t="shared" si="4"/>
        <v>1733.3333333333335</v>
      </c>
      <c r="Q19" s="315">
        <f t="shared" si="5"/>
        <v>1213.3333333333335</v>
      </c>
      <c r="R19" s="316">
        <f>2_NHANCONGTOANĐAC!F14</f>
        <v>0.3466666666666667</v>
      </c>
    </row>
    <row r="20" spans="1:18" s="293" customFormat="1" ht="12.75" customHeight="1">
      <c r="A20" s="307"/>
      <c r="B20" s="314"/>
      <c r="C20" s="309"/>
      <c r="D20" s="318"/>
      <c r="E20" s="312"/>
      <c r="F20" s="312"/>
      <c r="G20" s="312"/>
      <c r="H20" s="312"/>
      <c r="I20" s="312"/>
      <c r="J20" s="312"/>
      <c r="K20" s="312"/>
      <c r="L20" s="311"/>
      <c r="M20" s="311"/>
      <c r="N20" s="312"/>
      <c r="O20" s="315"/>
      <c r="P20" s="315"/>
      <c r="Q20" s="315"/>
      <c r="R20" s="325"/>
    </row>
    <row r="21" spans="1:18" s="293" customFormat="1" ht="37.5" customHeight="1">
      <c r="A21" s="310" t="s">
        <v>15</v>
      </c>
      <c r="B21" s="326" t="s">
        <v>121</v>
      </c>
      <c r="C21" s="317" t="s">
        <v>97</v>
      </c>
      <c r="D21" s="318"/>
      <c r="E21" s="312"/>
      <c r="F21" s="312"/>
      <c r="G21" s="312"/>
      <c r="H21" s="312"/>
      <c r="I21" s="312"/>
      <c r="J21" s="312"/>
      <c r="K21" s="312"/>
      <c r="L21" s="311"/>
      <c r="M21" s="311"/>
      <c r="N21" s="312"/>
      <c r="O21" s="315"/>
      <c r="P21" s="315"/>
      <c r="Q21" s="315"/>
      <c r="R21" s="316"/>
    </row>
    <row r="22" spans="1:18" s="293" customFormat="1" ht="19.5" customHeight="1">
      <c r="A22" s="307"/>
      <c r="B22" s="326"/>
      <c r="C22" s="317" t="s">
        <v>97</v>
      </c>
      <c r="D22" s="318" t="s">
        <v>21</v>
      </c>
      <c r="E22" s="312" t="e">
        <f>2_NHANCONGTOANĐAC!G17</f>
        <v>#VALUE!</v>
      </c>
      <c r="F22" s="312"/>
      <c r="G22" s="311">
        <f aca="true" t="shared" si="6" ref="G22:G27">P22*$Q$2*10</f>
        <v>0</v>
      </c>
      <c r="H22" s="312">
        <f>'3-DUNGCU'!$J$16*'3-DUNGCU'!C19</f>
        <v>244.63247863247867</v>
      </c>
      <c r="I22" s="312">
        <f>'4-VLIEU'!$H$13*'4-VLIEU'!C16</f>
        <v>2275</v>
      </c>
      <c r="J22" s="312">
        <f>('5-THIETBI'!$N$7+'5-THIETBI'!$N$10)*'5-THIETBI'!C14</f>
        <v>6073.2</v>
      </c>
      <c r="K22" s="312"/>
      <c r="L22" s="311" t="e">
        <f aca="true" t="shared" si="7" ref="L22:L27">SUM(E22:K22)</f>
        <v>#VALUE!</v>
      </c>
      <c r="M22" s="311" t="e">
        <f>E22*'He so chung'!$D$18/100</f>
        <v>#VALUE!</v>
      </c>
      <c r="N22" s="312" t="e">
        <f aca="true" t="shared" si="8" ref="N22:N27">M22+L22</f>
        <v>#VALUE!</v>
      </c>
      <c r="O22" s="311">
        <f aca="true" t="shared" si="9" ref="O22:O27">P22+Q22</f>
        <v>5312.5</v>
      </c>
      <c r="P22" s="315">
        <f aca="true" t="shared" si="10" ref="P22:P27">R22*$P$8</f>
        <v>3125</v>
      </c>
      <c r="Q22" s="315">
        <f aca="true" t="shared" si="11" ref="Q22:Q27">R22*$Q$8</f>
        <v>2187.5</v>
      </c>
      <c r="R22" s="316">
        <f>2_NHANCONGTOANĐAC!F17</f>
        <v>0.625</v>
      </c>
    </row>
    <row r="23" spans="1:18" s="293" customFormat="1" ht="19.5" customHeight="1">
      <c r="A23" s="307"/>
      <c r="B23" s="314"/>
      <c r="C23" s="317" t="s">
        <v>97</v>
      </c>
      <c r="D23" s="318" t="s">
        <v>19</v>
      </c>
      <c r="E23" s="312" t="e">
        <f>2_NHANCONGTOANĐAC!G18</f>
        <v>#VALUE!</v>
      </c>
      <c r="F23" s="312"/>
      <c r="G23" s="311">
        <f t="shared" si="6"/>
        <v>0</v>
      </c>
      <c r="H23" s="312">
        <f>'3-DUNGCU'!$J$16*'3-DUNGCU'!C20</f>
        <v>275.2115384615385</v>
      </c>
      <c r="I23" s="312">
        <f>'4-VLIEU'!$H$13*'4-VLIEU'!C17</f>
        <v>2762.5</v>
      </c>
      <c r="J23" s="312">
        <f>('5-THIETBI'!$N$7+'5-THIETBI'!$N$10)*'5-THIETBI'!C15</f>
        <v>6940.8</v>
      </c>
      <c r="K23" s="312"/>
      <c r="L23" s="311" t="e">
        <f t="shared" si="7"/>
        <v>#VALUE!</v>
      </c>
      <c r="M23" s="311" t="e">
        <f>E23*'He so chung'!$D$18/100</f>
        <v>#VALUE!</v>
      </c>
      <c r="N23" s="312" t="e">
        <f t="shared" si="8"/>
        <v>#VALUE!</v>
      </c>
      <c r="O23" s="311">
        <f t="shared" si="9"/>
        <v>7968.75</v>
      </c>
      <c r="P23" s="315">
        <f t="shared" si="10"/>
        <v>4687.5</v>
      </c>
      <c r="Q23" s="315">
        <f t="shared" si="11"/>
        <v>3281.25</v>
      </c>
      <c r="R23" s="316">
        <f>2_NHANCONGTOANĐAC!F18</f>
        <v>0.9375</v>
      </c>
    </row>
    <row r="24" spans="1:18" s="293" customFormat="1" ht="19.5" customHeight="1">
      <c r="A24" s="307"/>
      <c r="B24" s="314"/>
      <c r="C24" s="317" t="s">
        <v>97</v>
      </c>
      <c r="D24" s="318" t="s">
        <v>5</v>
      </c>
      <c r="E24" s="312" t="e">
        <f>2_NHANCONGTOANĐAC!G19</f>
        <v>#VALUE!</v>
      </c>
      <c r="F24" s="312"/>
      <c r="G24" s="311">
        <f t="shared" si="6"/>
        <v>0</v>
      </c>
      <c r="H24" s="312">
        <f>'3-DUNGCU'!$J$16*'3-DUNGCU'!C21</f>
        <v>305.7905982905983</v>
      </c>
      <c r="I24" s="312">
        <f>'4-VLIEU'!$H$13*'4-VLIEU'!C18</f>
        <v>3250</v>
      </c>
      <c r="J24" s="312">
        <f>('5-THIETBI'!$N$7+'5-THIETBI'!$N$10)*'5-THIETBI'!C16</f>
        <v>8676</v>
      </c>
      <c r="K24" s="312"/>
      <c r="L24" s="311" t="e">
        <f t="shared" si="7"/>
        <v>#VALUE!</v>
      </c>
      <c r="M24" s="311" t="e">
        <f>E24*'He so chung'!$D$18/100</f>
        <v>#VALUE!</v>
      </c>
      <c r="N24" s="312" t="e">
        <f t="shared" si="8"/>
        <v>#VALUE!</v>
      </c>
      <c r="O24" s="311">
        <f t="shared" si="9"/>
        <v>10625</v>
      </c>
      <c r="P24" s="315">
        <f t="shared" si="10"/>
        <v>6250</v>
      </c>
      <c r="Q24" s="315">
        <f t="shared" si="11"/>
        <v>4375</v>
      </c>
      <c r="R24" s="316">
        <f>2_NHANCONGTOANĐAC!F19</f>
        <v>1.25</v>
      </c>
    </row>
    <row r="25" spans="1:18" s="293" customFormat="1" ht="19.5" customHeight="1">
      <c r="A25" s="307"/>
      <c r="B25" s="314"/>
      <c r="C25" s="317" t="s">
        <v>97</v>
      </c>
      <c r="D25" s="318" t="s">
        <v>16</v>
      </c>
      <c r="E25" s="312" t="e">
        <f>2_NHANCONGTOANĐAC!G20</f>
        <v>#VALUE!</v>
      </c>
      <c r="F25" s="312"/>
      <c r="G25" s="311">
        <f t="shared" si="6"/>
        <v>0</v>
      </c>
      <c r="H25" s="312">
        <f>'3-DUNGCU'!$J$16*'3-DUNGCU'!C22</f>
        <v>351.65918803418805</v>
      </c>
      <c r="I25" s="312">
        <f>'4-VLIEU'!$H$13*'4-VLIEU'!C19</f>
        <v>4062.5</v>
      </c>
      <c r="J25" s="312">
        <f>('5-THIETBI'!$N$7+'5-THIETBI'!$N$10)*'5-THIETBI'!C17</f>
        <v>10411.199999999999</v>
      </c>
      <c r="K25" s="312"/>
      <c r="L25" s="311" t="e">
        <f t="shared" si="7"/>
        <v>#VALUE!</v>
      </c>
      <c r="M25" s="311" t="e">
        <f>E25*'He so chung'!$D$18/100</f>
        <v>#VALUE!</v>
      </c>
      <c r="N25" s="312" t="e">
        <f t="shared" si="8"/>
        <v>#VALUE!</v>
      </c>
      <c r="O25" s="311">
        <f t="shared" si="9"/>
        <v>13281.25</v>
      </c>
      <c r="P25" s="315">
        <f t="shared" si="10"/>
        <v>7812.5</v>
      </c>
      <c r="Q25" s="315">
        <f t="shared" si="11"/>
        <v>5468.75</v>
      </c>
      <c r="R25" s="316">
        <f>2_NHANCONGTOANĐAC!F20</f>
        <v>1.5625</v>
      </c>
    </row>
    <row r="26" spans="1:18" s="293" customFormat="1" ht="19.5" customHeight="1">
      <c r="A26" s="307"/>
      <c r="B26" s="314"/>
      <c r="C26" s="317" t="s">
        <v>97</v>
      </c>
      <c r="D26" s="318" t="s">
        <v>15</v>
      </c>
      <c r="E26" s="312" t="e">
        <f>2_NHANCONGTOANĐAC!G21</f>
        <v>#VALUE!</v>
      </c>
      <c r="F26" s="312"/>
      <c r="G26" s="311">
        <f t="shared" si="6"/>
        <v>0</v>
      </c>
      <c r="H26" s="312">
        <f>'3-DUNGCU'!$J$16*'3-DUNGCU'!C23</f>
        <v>366.94871794871796</v>
      </c>
      <c r="I26" s="312">
        <f>'4-VLIEU'!$H$13*'4-VLIEU'!C20</f>
        <v>4225</v>
      </c>
      <c r="J26" s="312">
        <f>('5-THIETBI'!$N$7+'5-THIETBI'!$N$10)*'5-THIETBI'!C18</f>
        <v>11278.800000000001</v>
      </c>
      <c r="K26" s="312"/>
      <c r="L26" s="311" t="e">
        <f t="shared" si="7"/>
        <v>#VALUE!</v>
      </c>
      <c r="M26" s="311" t="e">
        <f>E26*'He so chung'!$D$18/100</f>
        <v>#VALUE!</v>
      </c>
      <c r="N26" s="312" t="e">
        <f t="shared" si="8"/>
        <v>#VALUE!</v>
      </c>
      <c r="O26" s="311">
        <f t="shared" si="9"/>
        <v>16822.916666666664</v>
      </c>
      <c r="P26" s="315">
        <f t="shared" si="10"/>
        <v>9895.833333333332</v>
      </c>
      <c r="Q26" s="315">
        <f t="shared" si="11"/>
        <v>6927.083333333333</v>
      </c>
      <c r="R26" s="316">
        <f>2_NHANCONGTOANĐAC!F21</f>
        <v>1.9791666666666665</v>
      </c>
    </row>
    <row r="27" spans="1:18" s="293" customFormat="1" ht="19.5" customHeight="1">
      <c r="A27" s="307"/>
      <c r="B27" s="314"/>
      <c r="C27" s="317" t="s">
        <v>97</v>
      </c>
      <c r="D27" s="318" t="s">
        <v>14</v>
      </c>
      <c r="E27" s="312" t="e">
        <f>2_NHANCONGTOANĐAC!G22</f>
        <v>#VALUE!</v>
      </c>
      <c r="F27" s="312"/>
      <c r="G27" s="311">
        <f t="shared" si="6"/>
        <v>0</v>
      </c>
      <c r="H27" s="312">
        <f>'3-DUNGCU'!$J$16*'3-DUNGCU'!C24</f>
        <v>382.2382478632479</v>
      </c>
      <c r="I27" s="312">
        <f>'4-VLIEU'!$H$13*'4-VLIEU'!C21</f>
        <v>4387.5</v>
      </c>
      <c r="J27" s="312">
        <f>('5-THIETBI'!$N$7+'5-THIETBI'!$N$10)*'5-THIETBI'!C19</f>
        <v>12146.4</v>
      </c>
      <c r="K27" s="312"/>
      <c r="L27" s="311" t="e">
        <f t="shared" si="7"/>
        <v>#VALUE!</v>
      </c>
      <c r="M27" s="311" t="e">
        <f>E27*'He so chung'!$D$18/100</f>
        <v>#VALUE!</v>
      </c>
      <c r="N27" s="312" t="e">
        <f t="shared" si="8"/>
        <v>#VALUE!</v>
      </c>
      <c r="O27" s="311">
        <f t="shared" si="9"/>
        <v>18593.75</v>
      </c>
      <c r="P27" s="315">
        <f t="shared" si="10"/>
        <v>10937.5</v>
      </c>
      <c r="Q27" s="315">
        <f t="shared" si="11"/>
        <v>7656.25</v>
      </c>
      <c r="R27" s="316">
        <f>2_NHANCONGTOANĐAC!F22</f>
        <v>2.1875</v>
      </c>
    </row>
    <row r="28" spans="1:18" s="293" customFormat="1" ht="12.75" customHeight="1">
      <c r="A28" s="327"/>
      <c r="B28" s="328"/>
      <c r="C28" s="329"/>
      <c r="D28" s="330"/>
      <c r="E28" s="331"/>
      <c r="F28" s="331"/>
      <c r="G28" s="331"/>
      <c r="H28" s="331"/>
      <c r="I28" s="331"/>
      <c r="J28" s="331"/>
      <c r="K28" s="331"/>
      <c r="L28" s="332"/>
      <c r="M28" s="332"/>
      <c r="N28" s="331"/>
      <c r="O28" s="333"/>
      <c r="P28" s="333"/>
      <c r="Q28" s="333"/>
      <c r="R28" s="334"/>
    </row>
    <row r="29" spans="1:18" s="293" customFormat="1" ht="53.25" customHeight="1">
      <c r="A29" s="335">
        <v>6</v>
      </c>
      <c r="B29" s="336" t="s">
        <v>207</v>
      </c>
      <c r="C29" s="337" t="s">
        <v>97</v>
      </c>
      <c r="D29" s="338"/>
      <c r="E29" s="339"/>
      <c r="F29" s="339"/>
      <c r="G29" s="339"/>
      <c r="H29" s="339"/>
      <c r="I29" s="339"/>
      <c r="J29" s="339"/>
      <c r="K29" s="339"/>
      <c r="L29" s="340"/>
      <c r="M29" s="340"/>
      <c r="N29" s="339"/>
      <c r="O29" s="341"/>
      <c r="P29" s="341"/>
      <c r="Q29" s="341"/>
      <c r="R29" s="342"/>
    </row>
    <row r="30" spans="1:18" s="293" customFormat="1" ht="16.5">
      <c r="A30" s="307"/>
      <c r="B30" s="314"/>
      <c r="C30" s="317" t="s">
        <v>97</v>
      </c>
      <c r="D30" s="318" t="s">
        <v>21</v>
      </c>
      <c r="E30" s="312" t="e">
        <f>2_NHANCONGTOANĐAC!G24</f>
        <v>#VALUE!</v>
      </c>
      <c r="F30" s="312"/>
      <c r="G30" s="311">
        <f>P30*$Q$2*10</f>
        <v>0</v>
      </c>
      <c r="H30" s="312"/>
      <c r="I30" s="312"/>
      <c r="J30" s="312"/>
      <c r="K30" s="312"/>
      <c r="L30" s="311" t="e">
        <f aca="true" t="shared" si="12" ref="L30:L46">SUM(E30:K30)</f>
        <v>#VALUE!</v>
      </c>
      <c r="M30" s="311" t="e">
        <f>E30*'He so chung'!$D$18/100</f>
        <v>#VALUE!</v>
      </c>
      <c r="N30" s="312" t="e">
        <f>M30+L30</f>
        <v>#VALUE!</v>
      </c>
      <c r="O30" s="311">
        <f aca="true" t="shared" si="13" ref="O30:O35">P30+Q30</f>
        <v>212.5</v>
      </c>
      <c r="P30" s="315">
        <f>R30*$P$8</f>
        <v>125</v>
      </c>
      <c r="Q30" s="315">
        <f>R30*$Q$8</f>
        <v>87.5</v>
      </c>
      <c r="R30" s="316">
        <f>2_NHANCONGTOANĐAC!F24</f>
        <v>0.025</v>
      </c>
    </row>
    <row r="31" spans="1:18" s="293" customFormat="1" ht="16.5">
      <c r="A31" s="307"/>
      <c r="B31" s="314"/>
      <c r="C31" s="317" t="s">
        <v>97</v>
      </c>
      <c r="D31" s="318" t="s">
        <v>19</v>
      </c>
      <c r="E31" s="312" t="e">
        <f>2_NHANCONGTOANĐAC!G25</f>
        <v>#VALUE!</v>
      </c>
      <c r="F31" s="312"/>
      <c r="G31" s="311">
        <f aca="true" t="shared" si="14" ref="G31:G41">P31*$Q$2*10</f>
        <v>0</v>
      </c>
      <c r="H31" s="312"/>
      <c r="I31" s="312"/>
      <c r="J31" s="312"/>
      <c r="K31" s="312"/>
      <c r="L31" s="311" t="e">
        <f t="shared" si="12"/>
        <v>#VALUE!</v>
      </c>
      <c r="M31" s="311" t="e">
        <f>E31*'He so chung'!$D$18/100</f>
        <v>#VALUE!</v>
      </c>
      <c r="N31" s="312" t="e">
        <f>M31+L31</f>
        <v>#VALUE!</v>
      </c>
      <c r="O31" s="311">
        <f t="shared" si="13"/>
        <v>242.85714285714286</v>
      </c>
      <c r="P31" s="315">
        <f aca="true" t="shared" si="15" ref="P31:P46">R31*$P$8</f>
        <v>142.85714285714286</v>
      </c>
      <c r="Q31" s="315">
        <f aca="true" t="shared" si="16" ref="Q31:Q41">R31*$Q$8</f>
        <v>100</v>
      </c>
      <c r="R31" s="316">
        <f>2_NHANCONGTOANĐAC!F25</f>
        <v>0.02857142857142857</v>
      </c>
    </row>
    <row r="32" spans="1:18" s="293" customFormat="1" ht="17.25" customHeight="1">
      <c r="A32" s="307"/>
      <c r="B32" s="314"/>
      <c r="C32" s="317" t="s">
        <v>97</v>
      </c>
      <c r="D32" s="318" t="s">
        <v>5</v>
      </c>
      <c r="E32" s="312" t="e">
        <f>2_NHANCONGTOANĐAC!G26</f>
        <v>#VALUE!</v>
      </c>
      <c r="F32" s="312"/>
      <c r="G32" s="311">
        <f t="shared" si="14"/>
        <v>0</v>
      </c>
      <c r="H32" s="312"/>
      <c r="I32" s="312"/>
      <c r="J32" s="312"/>
      <c r="K32" s="312"/>
      <c r="L32" s="311" t="e">
        <f t="shared" si="12"/>
        <v>#VALUE!</v>
      </c>
      <c r="M32" s="311" t="e">
        <f>E32*'He so chung'!$D$18/100</f>
        <v>#VALUE!</v>
      </c>
      <c r="N32" s="312" t="e">
        <f aca="true" t="shared" si="17" ref="N32:N46">M32+L32</f>
        <v>#VALUE!</v>
      </c>
      <c r="O32" s="311">
        <f t="shared" si="13"/>
        <v>283.3333333333333</v>
      </c>
      <c r="P32" s="315">
        <f t="shared" si="15"/>
        <v>166.66666666666666</v>
      </c>
      <c r="Q32" s="315">
        <f t="shared" si="16"/>
        <v>116.66666666666667</v>
      </c>
      <c r="R32" s="316">
        <f>2_NHANCONGTOANĐAC!F26</f>
        <v>0.03333333333333333</v>
      </c>
    </row>
    <row r="33" spans="1:18" s="293" customFormat="1" ht="18" customHeight="1">
      <c r="A33" s="300"/>
      <c r="B33" s="301"/>
      <c r="C33" s="317" t="s">
        <v>97</v>
      </c>
      <c r="D33" s="318" t="s">
        <v>16</v>
      </c>
      <c r="E33" s="312" t="e">
        <f>2_NHANCONGTOANĐAC!G27</f>
        <v>#VALUE!</v>
      </c>
      <c r="F33" s="343"/>
      <c r="G33" s="311">
        <f t="shared" si="14"/>
        <v>0</v>
      </c>
      <c r="H33" s="343"/>
      <c r="I33" s="343"/>
      <c r="J33" s="343"/>
      <c r="K33" s="343"/>
      <c r="L33" s="311" t="e">
        <f t="shared" si="12"/>
        <v>#VALUE!</v>
      </c>
      <c r="M33" s="311" t="e">
        <f>E33*'He so chung'!$D$18/100</f>
        <v>#VALUE!</v>
      </c>
      <c r="N33" s="312" t="e">
        <f t="shared" si="17"/>
        <v>#VALUE!</v>
      </c>
      <c r="O33" s="311">
        <f t="shared" si="13"/>
        <v>566.6666666666666</v>
      </c>
      <c r="P33" s="315">
        <f t="shared" si="15"/>
        <v>333.3333333333333</v>
      </c>
      <c r="Q33" s="315">
        <f t="shared" si="16"/>
        <v>233.33333333333334</v>
      </c>
      <c r="R33" s="316">
        <f>2_NHANCONGTOANĐAC!F27</f>
        <v>0.06666666666666667</v>
      </c>
    </row>
    <row r="34" spans="1:18" s="293" customFormat="1" ht="16.5">
      <c r="A34" s="320"/>
      <c r="B34" s="314"/>
      <c r="C34" s="317" t="s">
        <v>97</v>
      </c>
      <c r="D34" s="318" t="s">
        <v>15</v>
      </c>
      <c r="E34" s="312" t="e">
        <f>2_NHANCONGTOANĐAC!G28</f>
        <v>#VALUE!</v>
      </c>
      <c r="F34" s="312"/>
      <c r="G34" s="311">
        <f t="shared" si="14"/>
        <v>0</v>
      </c>
      <c r="H34" s="312"/>
      <c r="I34" s="312"/>
      <c r="J34" s="312"/>
      <c r="K34" s="312"/>
      <c r="L34" s="311" t="e">
        <f t="shared" si="12"/>
        <v>#VALUE!</v>
      </c>
      <c r="M34" s="311" t="e">
        <f>E34*'He so chung'!$D$18/100</f>
        <v>#VALUE!</v>
      </c>
      <c r="N34" s="312" t="e">
        <f t="shared" si="17"/>
        <v>#VALUE!</v>
      </c>
      <c r="O34" s="311">
        <f t="shared" si="13"/>
        <v>850</v>
      </c>
      <c r="P34" s="315">
        <f t="shared" si="15"/>
        <v>500</v>
      </c>
      <c r="Q34" s="315">
        <f t="shared" si="16"/>
        <v>350</v>
      </c>
      <c r="R34" s="316">
        <f>2_NHANCONGTOANĐAC!F28</f>
        <v>0.1</v>
      </c>
    </row>
    <row r="35" spans="1:18" s="293" customFormat="1" ht="16.5">
      <c r="A35" s="307"/>
      <c r="B35" s="314"/>
      <c r="C35" s="317" t="s">
        <v>97</v>
      </c>
      <c r="D35" s="318" t="s">
        <v>14</v>
      </c>
      <c r="E35" s="312" t="e">
        <f>2_NHANCONGTOANĐAC!G29</f>
        <v>#VALUE!</v>
      </c>
      <c r="F35" s="312"/>
      <c r="G35" s="311">
        <f t="shared" si="14"/>
        <v>0</v>
      </c>
      <c r="H35" s="312"/>
      <c r="I35" s="312"/>
      <c r="J35" s="312"/>
      <c r="K35" s="312"/>
      <c r="L35" s="311" t="e">
        <f t="shared" si="12"/>
        <v>#VALUE!</v>
      </c>
      <c r="M35" s="311" t="e">
        <f>E35*'He so chung'!$D$18/100</f>
        <v>#VALUE!</v>
      </c>
      <c r="N35" s="312" t="e">
        <f t="shared" si="17"/>
        <v>#VALUE!</v>
      </c>
      <c r="O35" s="311">
        <f t="shared" si="13"/>
        <v>1700</v>
      </c>
      <c r="P35" s="315">
        <f t="shared" si="15"/>
        <v>1000</v>
      </c>
      <c r="Q35" s="315">
        <f t="shared" si="16"/>
        <v>700</v>
      </c>
      <c r="R35" s="316">
        <f>2_NHANCONGTOANĐAC!F29</f>
        <v>0.2</v>
      </c>
    </row>
    <row r="36" spans="1:18" s="293" customFormat="1" ht="16.5">
      <c r="A36" s="307"/>
      <c r="B36" s="314"/>
      <c r="C36" s="317"/>
      <c r="D36" s="318"/>
      <c r="E36" s="312"/>
      <c r="F36" s="312"/>
      <c r="G36" s="311"/>
      <c r="H36" s="312"/>
      <c r="I36" s="312"/>
      <c r="J36" s="312"/>
      <c r="K36" s="312"/>
      <c r="L36" s="311"/>
      <c r="M36" s="311"/>
      <c r="N36" s="312"/>
      <c r="O36" s="311"/>
      <c r="P36" s="315"/>
      <c r="Q36" s="315"/>
      <c r="R36" s="316"/>
    </row>
    <row r="37" spans="1:18" s="324" customFormat="1" ht="27" customHeight="1">
      <c r="A37" s="310" t="s">
        <v>13</v>
      </c>
      <c r="B37" s="308" t="s">
        <v>210</v>
      </c>
      <c r="C37" s="319" t="s">
        <v>97</v>
      </c>
      <c r="D37" s="318"/>
      <c r="E37" s="312"/>
      <c r="F37" s="312"/>
      <c r="G37" s="312"/>
      <c r="H37" s="312"/>
      <c r="I37" s="312"/>
      <c r="J37" s="312"/>
      <c r="K37" s="312"/>
      <c r="L37" s="311"/>
      <c r="M37" s="311"/>
      <c r="N37" s="312"/>
      <c r="O37" s="315"/>
      <c r="P37" s="315"/>
      <c r="Q37" s="315"/>
      <c r="R37" s="316"/>
    </row>
    <row r="38" spans="1:18" s="293" customFormat="1" ht="21" customHeight="1">
      <c r="A38" s="310" t="s">
        <v>92</v>
      </c>
      <c r="B38" s="344" t="s">
        <v>114</v>
      </c>
      <c r="C38" s="319" t="s">
        <v>97</v>
      </c>
      <c r="D38" s="318"/>
      <c r="E38" s="312" t="e">
        <f>2_NHANCONGTOANĐAC!G31</f>
        <v>#VALUE!</v>
      </c>
      <c r="F38" s="312"/>
      <c r="G38" s="311">
        <f t="shared" si="14"/>
        <v>0</v>
      </c>
      <c r="H38" s="312">
        <f>'3-DUNGCU'!$L$16</f>
        <v>74.03846153846155</v>
      </c>
      <c r="I38" s="312"/>
      <c r="J38" s="312"/>
      <c r="K38" s="312"/>
      <c r="L38" s="311" t="e">
        <f t="shared" si="12"/>
        <v>#VALUE!</v>
      </c>
      <c r="M38" s="311" t="e">
        <f>E38*'He so chung'!$D$18/100</f>
        <v>#VALUE!</v>
      </c>
      <c r="N38" s="312" t="e">
        <f t="shared" si="17"/>
        <v>#VALUE!</v>
      </c>
      <c r="O38" s="311">
        <f>P38+Q38</f>
        <v>232.55999999999997</v>
      </c>
      <c r="P38" s="315">
        <f t="shared" si="15"/>
        <v>136.79999999999998</v>
      </c>
      <c r="Q38" s="315">
        <f t="shared" si="16"/>
        <v>95.75999999999999</v>
      </c>
      <c r="R38" s="316">
        <f>2_NHANCONGTOANĐAC!F31</f>
        <v>0.02736</v>
      </c>
    </row>
    <row r="39" spans="1:18" s="293" customFormat="1" ht="21" customHeight="1">
      <c r="A39" s="310" t="s">
        <v>92</v>
      </c>
      <c r="B39" s="344" t="s">
        <v>115</v>
      </c>
      <c r="C39" s="319" t="s">
        <v>97</v>
      </c>
      <c r="D39" s="318"/>
      <c r="E39" s="312" t="e">
        <f>2_NHANCONGTOANĐAC!G32</f>
        <v>#VALUE!</v>
      </c>
      <c r="F39" s="312"/>
      <c r="G39" s="311">
        <f t="shared" si="14"/>
        <v>0</v>
      </c>
      <c r="H39" s="312">
        <f>'3-DUNGCU'!$L$16</f>
        <v>74.03846153846155</v>
      </c>
      <c r="I39" s="312"/>
      <c r="J39" s="312"/>
      <c r="K39" s="312"/>
      <c r="L39" s="311" t="e">
        <f t="shared" si="12"/>
        <v>#VALUE!</v>
      </c>
      <c r="M39" s="311" t="e">
        <f>E39*'He so chung'!$D$18/100</f>
        <v>#VALUE!</v>
      </c>
      <c r="N39" s="312" t="e">
        <f t="shared" si="17"/>
        <v>#VALUE!</v>
      </c>
      <c r="O39" s="311">
        <f>P39+Q39</f>
        <v>364.14</v>
      </c>
      <c r="P39" s="315">
        <f t="shared" si="15"/>
        <v>214.2</v>
      </c>
      <c r="Q39" s="315">
        <f t="shared" si="16"/>
        <v>149.94</v>
      </c>
      <c r="R39" s="316">
        <f>2_NHANCONGTOANĐAC!F32</f>
        <v>0.042839999999999996</v>
      </c>
    </row>
    <row r="40" spans="1:18" s="293" customFormat="1" ht="21" customHeight="1">
      <c r="A40" s="310" t="s">
        <v>92</v>
      </c>
      <c r="B40" s="344" t="s">
        <v>116</v>
      </c>
      <c r="C40" s="319" t="s">
        <v>97</v>
      </c>
      <c r="D40" s="345"/>
      <c r="E40" s="312" t="e">
        <f>2_NHANCONGTOANĐAC!G33</f>
        <v>#VALUE!</v>
      </c>
      <c r="F40" s="346"/>
      <c r="G40" s="311">
        <f t="shared" si="14"/>
        <v>0</v>
      </c>
      <c r="H40" s="312">
        <f>'3-DUNGCU'!$L$16</f>
        <v>74.03846153846155</v>
      </c>
      <c r="I40" s="346"/>
      <c r="J40" s="346"/>
      <c r="K40" s="346"/>
      <c r="L40" s="311" t="e">
        <f t="shared" si="12"/>
        <v>#VALUE!</v>
      </c>
      <c r="M40" s="311" t="e">
        <f>E40*'He so chung'!$D$18/100</f>
        <v>#VALUE!</v>
      </c>
      <c r="N40" s="312" t="e">
        <f t="shared" si="17"/>
        <v>#VALUE!</v>
      </c>
      <c r="O40" s="311">
        <f>P40+Q40</f>
        <v>581.3999999999999</v>
      </c>
      <c r="P40" s="315">
        <f t="shared" si="15"/>
        <v>341.99999999999994</v>
      </c>
      <c r="Q40" s="315">
        <f t="shared" si="16"/>
        <v>239.39999999999995</v>
      </c>
      <c r="R40" s="316">
        <f>2_NHANCONGTOANĐAC!F33</f>
        <v>0.06839999999999999</v>
      </c>
    </row>
    <row r="41" spans="1:18" s="350" customFormat="1" ht="21" customHeight="1">
      <c r="A41" s="347" t="s">
        <v>92</v>
      </c>
      <c r="B41" s="326" t="s">
        <v>98</v>
      </c>
      <c r="C41" s="319" t="s">
        <v>97</v>
      </c>
      <c r="D41" s="348"/>
      <c r="E41" s="312" t="e">
        <f>2_NHANCONGTOANĐAC!G34</f>
        <v>#VALUE!</v>
      </c>
      <c r="F41" s="349"/>
      <c r="G41" s="311">
        <f t="shared" si="14"/>
        <v>0</v>
      </c>
      <c r="H41" s="312">
        <f>'3-DUNGCU'!$L$16</f>
        <v>74.03846153846155</v>
      </c>
      <c r="I41" s="349"/>
      <c r="J41" s="349"/>
      <c r="K41" s="349"/>
      <c r="L41" s="311" t="e">
        <f t="shared" si="12"/>
        <v>#VALUE!</v>
      </c>
      <c r="M41" s="311" t="e">
        <f>E41*'He so chung'!$D$18/100</f>
        <v>#VALUE!</v>
      </c>
      <c r="N41" s="312" t="e">
        <f t="shared" si="17"/>
        <v>#VALUE!</v>
      </c>
      <c r="O41" s="311">
        <f>P41+Q41</f>
        <v>948.5999999999999</v>
      </c>
      <c r="P41" s="315">
        <f t="shared" si="15"/>
        <v>558</v>
      </c>
      <c r="Q41" s="315">
        <f t="shared" si="16"/>
        <v>390.59999999999997</v>
      </c>
      <c r="R41" s="316">
        <f>2_NHANCONGTOANĐAC!F34</f>
        <v>0.11159999999999999</v>
      </c>
    </row>
    <row r="42" spans="1:18" s="352" customFormat="1" ht="9" customHeight="1">
      <c r="A42" s="307"/>
      <c r="B42" s="314"/>
      <c r="C42" s="309"/>
      <c r="D42" s="318"/>
      <c r="E42" s="312"/>
      <c r="F42" s="312"/>
      <c r="G42" s="312"/>
      <c r="H42" s="312"/>
      <c r="I42" s="312"/>
      <c r="J42" s="312"/>
      <c r="K42" s="312"/>
      <c r="L42" s="311"/>
      <c r="M42" s="311"/>
      <c r="N42" s="312"/>
      <c r="O42" s="311"/>
      <c r="P42" s="315"/>
      <c r="Q42" s="315"/>
      <c r="R42" s="351"/>
    </row>
    <row r="43" spans="1:18" s="293" customFormat="1" ht="29.25" customHeight="1">
      <c r="A43" s="353" t="s">
        <v>12</v>
      </c>
      <c r="B43" s="354" t="s">
        <v>135</v>
      </c>
      <c r="C43" s="355"/>
      <c r="D43" s="356"/>
      <c r="E43" s="357"/>
      <c r="F43" s="357"/>
      <c r="G43" s="357"/>
      <c r="H43" s="357"/>
      <c r="I43" s="357"/>
      <c r="J43" s="357"/>
      <c r="K43" s="357"/>
      <c r="L43" s="358"/>
      <c r="M43" s="358"/>
      <c r="N43" s="359"/>
      <c r="O43" s="360"/>
      <c r="P43" s="360"/>
      <c r="Q43" s="360"/>
      <c r="R43" s="361"/>
    </row>
    <row r="44" spans="1:18" s="293" customFormat="1" ht="22.5" customHeight="1">
      <c r="A44" s="353" t="s">
        <v>92</v>
      </c>
      <c r="B44" s="344" t="s">
        <v>136</v>
      </c>
      <c r="C44" s="355"/>
      <c r="D44" s="356"/>
      <c r="E44" s="357" t="e">
        <f>2_NHANCONGTOANĐAC!G36</f>
        <v>#VALUE!</v>
      </c>
      <c r="F44" s="357"/>
      <c r="G44" s="311">
        <f>P44*$Q$2*10</f>
        <v>0</v>
      </c>
      <c r="H44" s="357">
        <f>'3-DUNGCU'!N16</f>
        <v>52.88461538461539</v>
      </c>
      <c r="I44" s="357"/>
      <c r="J44" s="357"/>
      <c r="K44" s="357"/>
      <c r="L44" s="311" t="e">
        <f t="shared" si="12"/>
        <v>#VALUE!</v>
      </c>
      <c r="M44" s="311" t="e">
        <f>E44*'He so chung'!$D$18/100</f>
        <v>#VALUE!</v>
      </c>
      <c r="N44" s="362" t="e">
        <f t="shared" si="17"/>
        <v>#VALUE!</v>
      </c>
      <c r="O44" s="311">
        <f>P44+Q44</f>
        <v>114.24000000000002</v>
      </c>
      <c r="P44" s="315">
        <f t="shared" si="15"/>
        <v>67.20000000000002</v>
      </c>
      <c r="Q44" s="315">
        <f>R44*$Q$8</f>
        <v>47.040000000000006</v>
      </c>
      <c r="R44" s="361">
        <f>2_NHANCONGTOANĐAC!F36</f>
        <v>0.013440000000000002</v>
      </c>
    </row>
    <row r="45" spans="1:18" s="293" customFormat="1" ht="22.5" customHeight="1">
      <c r="A45" s="353" t="s">
        <v>92</v>
      </c>
      <c r="B45" s="363" t="s">
        <v>137</v>
      </c>
      <c r="C45" s="355"/>
      <c r="D45" s="356"/>
      <c r="E45" s="357" t="e">
        <f>2_NHANCONGTOANĐAC!G37</f>
        <v>#VALUE!</v>
      </c>
      <c r="F45" s="357"/>
      <c r="G45" s="311">
        <f>P45*$Q$2*10</f>
        <v>0</v>
      </c>
      <c r="H45" s="357">
        <f>H44</f>
        <v>52.88461538461539</v>
      </c>
      <c r="I45" s="357"/>
      <c r="J45" s="357"/>
      <c r="K45" s="357"/>
      <c r="L45" s="311" t="e">
        <f t="shared" si="12"/>
        <v>#VALUE!</v>
      </c>
      <c r="M45" s="311" t="e">
        <f>E45*'He so chung'!$D$18/100</f>
        <v>#VALUE!</v>
      </c>
      <c r="N45" s="362" t="e">
        <f t="shared" si="17"/>
        <v>#VALUE!</v>
      </c>
      <c r="O45" s="311">
        <f>P45+Q45</f>
        <v>136.68</v>
      </c>
      <c r="P45" s="315">
        <f t="shared" si="15"/>
        <v>80.4</v>
      </c>
      <c r="Q45" s="315">
        <f>R45*$Q$8</f>
        <v>56.28</v>
      </c>
      <c r="R45" s="361">
        <f>2_NHANCONGTOANĐAC!F37</f>
        <v>0.01608</v>
      </c>
    </row>
    <row r="46" spans="1:18" s="293" customFormat="1" ht="22.5" customHeight="1">
      <c r="A46" s="353" t="s">
        <v>92</v>
      </c>
      <c r="B46" s="344" t="s">
        <v>138</v>
      </c>
      <c r="C46" s="355"/>
      <c r="D46" s="356"/>
      <c r="E46" s="357" t="e">
        <f>2_NHANCONGTOANĐAC!G38</f>
        <v>#VALUE!</v>
      </c>
      <c r="F46" s="357"/>
      <c r="G46" s="311">
        <f>P46*$Q$2*10</f>
        <v>0</v>
      </c>
      <c r="H46" s="357">
        <f>H44</f>
        <v>52.88461538461539</v>
      </c>
      <c r="I46" s="357"/>
      <c r="J46" s="357"/>
      <c r="K46" s="357"/>
      <c r="L46" s="311" t="e">
        <f t="shared" si="12"/>
        <v>#VALUE!</v>
      </c>
      <c r="M46" s="311" t="e">
        <f>E46*'He so chung'!$D$18/100</f>
        <v>#VALUE!</v>
      </c>
      <c r="N46" s="362" t="e">
        <f t="shared" si="17"/>
        <v>#VALUE!</v>
      </c>
      <c r="O46" s="311">
        <f>P46+Q46</f>
        <v>142.8</v>
      </c>
      <c r="P46" s="315">
        <f t="shared" si="15"/>
        <v>84</v>
      </c>
      <c r="Q46" s="315">
        <f>R46*$Q$8</f>
        <v>58.8</v>
      </c>
      <c r="R46" s="361">
        <f>2_NHANCONGTOANĐAC!F38</f>
        <v>0.0168</v>
      </c>
    </row>
    <row r="47" spans="1:18" s="293" customFormat="1" ht="9" customHeight="1">
      <c r="A47" s="320"/>
      <c r="B47" s="314"/>
      <c r="C47" s="321"/>
      <c r="D47" s="318"/>
      <c r="E47" s="312"/>
      <c r="F47" s="312"/>
      <c r="G47" s="312"/>
      <c r="H47" s="312"/>
      <c r="I47" s="312"/>
      <c r="J47" s="312"/>
      <c r="K47" s="312"/>
      <c r="L47" s="311"/>
      <c r="M47" s="311"/>
      <c r="N47" s="343"/>
      <c r="O47" s="315"/>
      <c r="P47" s="315"/>
      <c r="Q47" s="315"/>
      <c r="R47" s="316"/>
    </row>
    <row r="48" spans="1:18" s="293" customFormat="1" ht="22.5" customHeight="1">
      <c r="A48" s="310" t="s">
        <v>11</v>
      </c>
      <c r="B48" s="344" t="s">
        <v>90</v>
      </c>
      <c r="C48" s="317" t="s">
        <v>97</v>
      </c>
      <c r="D48" s="318"/>
      <c r="E48" s="312"/>
      <c r="F48" s="312"/>
      <c r="G48" s="312"/>
      <c r="H48" s="312"/>
      <c r="I48" s="312"/>
      <c r="J48" s="312"/>
      <c r="K48" s="312"/>
      <c r="L48" s="311"/>
      <c r="M48" s="311"/>
      <c r="N48" s="312"/>
      <c r="O48" s="315"/>
      <c r="P48" s="315"/>
      <c r="Q48" s="315"/>
      <c r="R48" s="316"/>
    </row>
    <row r="49" spans="1:18" s="293" customFormat="1" ht="19.5" customHeight="1">
      <c r="A49" s="307"/>
      <c r="B49" s="314"/>
      <c r="C49" s="309"/>
      <c r="D49" s="318" t="s">
        <v>21</v>
      </c>
      <c r="E49" s="312" t="e">
        <f>2_NHANCONGTOANĐAC!G40</f>
        <v>#VALUE!</v>
      </c>
      <c r="F49" s="312"/>
      <c r="G49" s="311">
        <f aca="true" t="shared" si="18" ref="G49:G54">P49*$Q$2*10</f>
        <v>0</v>
      </c>
      <c r="H49" s="312">
        <f>'3-DUNGCU'!$P$16*'3-DUNGCU'!C19</f>
        <v>78.55270655270657</v>
      </c>
      <c r="I49" s="312">
        <f>'4-VLIEU'!$J$13*'4-VLIEU'!C16</f>
        <v>373.33333333333326</v>
      </c>
      <c r="J49" s="312">
        <f>'5-THIETBI'!$P$7*'5-THIETBI'!C14</f>
        <v>2520</v>
      </c>
      <c r="K49" s="312"/>
      <c r="L49" s="311" t="e">
        <f aca="true" t="shared" si="19" ref="L49:L61">SUM(E49:K49)</f>
        <v>#VALUE!</v>
      </c>
      <c r="M49" s="311" t="e">
        <f>E49*'He so chung'!$D$18/100</f>
        <v>#VALUE!</v>
      </c>
      <c r="N49" s="312" t="e">
        <f aca="true" t="shared" si="20" ref="N49:N63">M49+L49</f>
        <v>#VALUE!</v>
      </c>
      <c r="O49" s="311">
        <f aca="true" t="shared" si="21" ref="O49:O54">P49+Q49</f>
        <v>2656.25</v>
      </c>
      <c r="P49" s="315">
        <f aca="true" t="shared" si="22" ref="P49:P56">R49*$P$8</f>
        <v>1562.5</v>
      </c>
      <c r="Q49" s="315">
        <f aca="true" t="shared" si="23" ref="Q49:Q56">R49*$Q$8</f>
        <v>1093.75</v>
      </c>
      <c r="R49" s="316">
        <f>2_NHANCONGTOANĐAC!F40</f>
        <v>0.3125</v>
      </c>
    </row>
    <row r="50" spans="1:18" s="293" customFormat="1" ht="19.5" customHeight="1">
      <c r="A50" s="307"/>
      <c r="B50" s="314"/>
      <c r="C50" s="309"/>
      <c r="D50" s="318" t="s">
        <v>19</v>
      </c>
      <c r="E50" s="312" t="e">
        <f>2_NHANCONGTOANĐAC!G41</f>
        <v>#VALUE!</v>
      </c>
      <c r="F50" s="312"/>
      <c r="G50" s="311">
        <f t="shared" si="18"/>
        <v>0</v>
      </c>
      <c r="H50" s="312">
        <f>'3-DUNGCU'!$P$16*'3-DUNGCU'!C20</f>
        <v>88.37179487179488</v>
      </c>
      <c r="I50" s="312">
        <f>'4-VLIEU'!$J$13*'4-VLIEU'!C17</f>
        <v>453.33333333333326</v>
      </c>
      <c r="J50" s="312">
        <f>'5-THIETBI'!$P$7*'5-THIETBI'!C15</f>
        <v>2880</v>
      </c>
      <c r="K50" s="312"/>
      <c r="L50" s="311" t="e">
        <f t="shared" si="19"/>
        <v>#VALUE!</v>
      </c>
      <c r="M50" s="311" t="e">
        <f>E50*'He so chung'!$D$18/100</f>
        <v>#VALUE!</v>
      </c>
      <c r="N50" s="312" t="e">
        <f t="shared" si="20"/>
        <v>#VALUE!</v>
      </c>
      <c r="O50" s="311">
        <f t="shared" si="21"/>
        <v>3541.666666666666</v>
      </c>
      <c r="P50" s="315">
        <f t="shared" si="22"/>
        <v>2083.333333333333</v>
      </c>
      <c r="Q50" s="315">
        <f t="shared" si="23"/>
        <v>1458.3333333333333</v>
      </c>
      <c r="R50" s="316">
        <f>2_NHANCONGTOANĐAC!F41</f>
        <v>0.41666666666666663</v>
      </c>
    </row>
    <row r="51" spans="1:18" s="293" customFormat="1" ht="19.5" customHeight="1">
      <c r="A51" s="307"/>
      <c r="B51" s="314"/>
      <c r="C51" s="309"/>
      <c r="D51" s="318" t="s">
        <v>5</v>
      </c>
      <c r="E51" s="362" t="e">
        <f>2_NHANCONGTOANĐAC!G42</f>
        <v>#VALUE!</v>
      </c>
      <c r="F51" s="312"/>
      <c r="G51" s="311">
        <f t="shared" si="18"/>
        <v>0</v>
      </c>
      <c r="H51" s="312">
        <f>'3-DUNGCU'!$P$16*'3-DUNGCU'!C21</f>
        <v>98.1908831908832</v>
      </c>
      <c r="I51" s="312">
        <f>'4-VLIEU'!$J$13*'4-VLIEU'!C18</f>
        <v>533.3333333333333</v>
      </c>
      <c r="J51" s="312">
        <f>'5-THIETBI'!$P$7*'5-THIETBI'!C16</f>
        <v>3600</v>
      </c>
      <c r="K51" s="312"/>
      <c r="L51" s="311" t="e">
        <f t="shared" si="19"/>
        <v>#VALUE!</v>
      </c>
      <c r="M51" s="311" t="e">
        <f>E51*'He so chung'!$D$18/100</f>
        <v>#VALUE!</v>
      </c>
      <c r="N51" s="312" t="e">
        <f t="shared" si="20"/>
        <v>#VALUE!</v>
      </c>
      <c r="O51" s="311">
        <f t="shared" si="21"/>
        <v>4427.083333333334</v>
      </c>
      <c r="P51" s="315">
        <f t="shared" si="22"/>
        <v>2604.166666666667</v>
      </c>
      <c r="Q51" s="315">
        <f t="shared" si="23"/>
        <v>1822.9166666666667</v>
      </c>
      <c r="R51" s="316">
        <f>2_NHANCONGTOANĐAC!F42</f>
        <v>0.5208333333333334</v>
      </c>
    </row>
    <row r="52" spans="1:18" s="293" customFormat="1" ht="19.5" customHeight="1">
      <c r="A52" s="307"/>
      <c r="B52" s="314"/>
      <c r="C52" s="309"/>
      <c r="D52" s="318" t="s">
        <v>16</v>
      </c>
      <c r="E52" s="312" t="e">
        <f>2_NHANCONGTOANĐAC!G43</f>
        <v>#VALUE!</v>
      </c>
      <c r="F52" s="312"/>
      <c r="G52" s="311">
        <f t="shared" si="18"/>
        <v>0</v>
      </c>
      <c r="H52" s="312">
        <f>'3-DUNGCU'!$P$16*'3-DUNGCU'!C22</f>
        <v>112.91951566951568</v>
      </c>
      <c r="I52" s="312">
        <f>'4-VLIEU'!$J$13*'4-VLIEU'!C19</f>
        <v>666.6666666666665</v>
      </c>
      <c r="J52" s="312">
        <f>'5-THIETBI'!$P$7*'5-THIETBI'!C17</f>
        <v>4320</v>
      </c>
      <c r="K52" s="312"/>
      <c r="L52" s="311" t="e">
        <f t="shared" si="19"/>
        <v>#VALUE!</v>
      </c>
      <c r="M52" s="311" t="e">
        <f>E52*'He so chung'!$D$18/100</f>
        <v>#VALUE!</v>
      </c>
      <c r="N52" s="312" t="e">
        <f t="shared" si="20"/>
        <v>#VALUE!</v>
      </c>
      <c r="O52" s="311">
        <f t="shared" si="21"/>
        <v>5312.5</v>
      </c>
      <c r="P52" s="315">
        <f t="shared" si="22"/>
        <v>3125</v>
      </c>
      <c r="Q52" s="315">
        <f t="shared" si="23"/>
        <v>2187.5</v>
      </c>
      <c r="R52" s="316">
        <f>2_NHANCONGTOANĐAC!F43</f>
        <v>0.625</v>
      </c>
    </row>
    <row r="53" spans="1:18" s="293" customFormat="1" ht="19.5" customHeight="1">
      <c r="A53" s="307"/>
      <c r="B53" s="314"/>
      <c r="C53" s="309"/>
      <c r="D53" s="318" t="s">
        <v>15</v>
      </c>
      <c r="E53" s="312" t="e">
        <f>2_NHANCONGTOANĐAC!G44</f>
        <v>#VALUE!</v>
      </c>
      <c r="F53" s="312"/>
      <c r="G53" s="311">
        <f t="shared" si="18"/>
        <v>0</v>
      </c>
      <c r="H53" s="312">
        <f>'3-DUNGCU'!$P$16*'3-DUNGCU'!C23</f>
        <v>117.82905982905983</v>
      </c>
      <c r="I53" s="312">
        <f>'4-VLIEU'!$J$13*'4-VLIEU'!C20</f>
        <v>693.3333333333333</v>
      </c>
      <c r="J53" s="312">
        <f>'5-THIETBI'!$P$7*'5-THIETBI'!C18</f>
        <v>4680</v>
      </c>
      <c r="K53" s="312"/>
      <c r="L53" s="311" t="e">
        <f t="shared" si="19"/>
        <v>#VALUE!</v>
      </c>
      <c r="M53" s="311" t="e">
        <f>E53*'He so chung'!$D$18/100</f>
        <v>#VALUE!</v>
      </c>
      <c r="N53" s="312" t="e">
        <f t="shared" si="20"/>
        <v>#VALUE!</v>
      </c>
      <c r="O53" s="311">
        <f t="shared" si="21"/>
        <v>7083.333333333332</v>
      </c>
      <c r="P53" s="315">
        <f t="shared" si="22"/>
        <v>4166.666666666666</v>
      </c>
      <c r="Q53" s="315">
        <f t="shared" si="23"/>
        <v>2916.6666666666665</v>
      </c>
      <c r="R53" s="316">
        <f>2_NHANCONGTOANĐAC!F44</f>
        <v>0.8333333333333333</v>
      </c>
    </row>
    <row r="54" spans="1:18" s="293" customFormat="1" ht="19.5" customHeight="1">
      <c r="A54" s="364"/>
      <c r="B54" s="365"/>
      <c r="C54" s="366"/>
      <c r="D54" s="348" t="s">
        <v>14</v>
      </c>
      <c r="E54" s="349" t="e">
        <f>2_NHANCONGTOANĐAC!G45</f>
        <v>#VALUE!</v>
      </c>
      <c r="F54" s="349"/>
      <c r="G54" s="367">
        <f t="shared" si="18"/>
        <v>0</v>
      </c>
      <c r="H54" s="349">
        <f>'3-DUNGCU'!$P$16*'3-DUNGCU'!C24</f>
        <v>122.738603988604</v>
      </c>
      <c r="I54" s="349">
        <f>'4-VLIEU'!$J$13*'4-VLIEU'!C21</f>
        <v>720</v>
      </c>
      <c r="J54" s="349">
        <f>'5-THIETBI'!$P$7*'5-THIETBI'!C19</f>
        <v>5040</v>
      </c>
      <c r="K54" s="349"/>
      <c r="L54" s="367" t="e">
        <f t="shared" si="19"/>
        <v>#VALUE!</v>
      </c>
      <c r="M54" s="311" t="e">
        <f>E54*'He so chung'!$D$18/100</f>
        <v>#VALUE!</v>
      </c>
      <c r="N54" s="349" t="e">
        <f t="shared" si="20"/>
        <v>#VALUE!</v>
      </c>
      <c r="O54" s="367">
        <f t="shared" si="21"/>
        <v>11510.416666666666</v>
      </c>
      <c r="P54" s="368">
        <f t="shared" si="22"/>
        <v>6770.833333333333</v>
      </c>
      <c r="Q54" s="368">
        <f t="shared" si="23"/>
        <v>4739.583333333333</v>
      </c>
      <c r="R54" s="369">
        <f>2_NHANCONGTOANĐAC!F45</f>
        <v>1.3541666666666665</v>
      </c>
    </row>
    <row r="55" spans="1:18" ht="13.5" customHeight="1">
      <c r="A55" s="370"/>
      <c r="B55" s="371"/>
      <c r="C55" s="372"/>
      <c r="D55" s="373"/>
      <c r="E55" s="374"/>
      <c r="F55" s="375"/>
      <c r="G55" s="374"/>
      <c r="H55" s="376"/>
      <c r="I55" s="377"/>
      <c r="J55" s="378"/>
      <c r="K55" s="378"/>
      <c r="L55" s="376"/>
      <c r="M55" s="376"/>
      <c r="N55" s="376"/>
      <c r="O55" s="376"/>
      <c r="P55" s="376"/>
      <c r="Q55" s="376"/>
      <c r="R55" s="376"/>
    </row>
    <row r="56" spans="1:18" ht="46.5" customHeight="1">
      <c r="A56" s="379">
        <v>10</v>
      </c>
      <c r="B56" s="380" t="s">
        <v>126</v>
      </c>
      <c r="C56" s="381" t="s">
        <v>97</v>
      </c>
      <c r="D56" s="382" t="s">
        <v>113</v>
      </c>
      <c r="E56" s="383" t="e">
        <f>2_NHANCONGTOANĐAC!G46</f>
        <v>#VALUE!</v>
      </c>
      <c r="F56" s="384"/>
      <c r="G56" s="385">
        <f>P56*$Q$2*10</f>
        <v>0</v>
      </c>
      <c r="H56" s="386"/>
      <c r="I56" s="384"/>
      <c r="J56" s="386"/>
      <c r="K56" s="386"/>
      <c r="L56" s="387" t="e">
        <f t="shared" si="19"/>
        <v>#VALUE!</v>
      </c>
      <c r="M56" s="311" t="e">
        <f>E56*'He so chung'!$D$18/100</f>
        <v>#VALUE!</v>
      </c>
      <c r="N56" s="387" t="e">
        <f t="shared" si="20"/>
        <v>#VALUE!</v>
      </c>
      <c r="O56" s="385">
        <f>P56+Q56</f>
        <v>850</v>
      </c>
      <c r="P56" s="388">
        <f t="shared" si="22"/>
        <v>500</v>
      </c>
      <c r="Q56" s="388">
        <f t="shared" si="23"/>
        <v>350</v>
      </c>
      <c r="R56" s="389">
        <f>2_NHANCONGTOANĐAC!F46</f>
        <v>0.1</v>
      </c>
    </row>
    <row r="57" spans="1:18" ht="33" customHeight="1">
      <c r="A57" s="319">
        <v>11</v>
      </c>
      <c r="B57" s="390" t="s">
        <v>123</v>
      </c>
      <c r="C57" s="391" t="s">
        <v>97</v>
      </c>
      <c r="D57" s="392"/>
      <c r="E57" s="393" t="e">
        <f>SUM(E58:E61)</f>
        <v>#VALUE!</v>
      </c>
      <c r="F57" s="393">
        <f aca="true" t="shared" si="24" ref="F57:M57">SUM(F58:F61)</f>
        <v>0</v>
      </c>
      <c r="G57" s="393">
        <f t="shared" si="24"/>
        <v>0</v>
      </c>
      <c r="H57" s="393">
        <f t="shared" si="24"/>
        <v>0</v>
      </c>
      <c r="I57" s="393">
        <f t="shared" si="24"/>
        <v>645</v>
      </c>
      <c r="J57" s="393">
        <f t="shared" si="24"/>
        <v>2640</v>
      </c>
      <c r="K57" s="393">
        <f t="shared" si="24"/>
        <v>0</v>
      </c>
      <c r="L57" s="393" t="e">
        <f t="shared" si="24"/>
        <v>#VALUE!</v>
      </c>
      <c r="M57" s="393" t="e">
        <f t="shared" si="24"/>
        <v>#VALUE!</v>
      </c>
      <c r="N57" s="394" t="e">
        <f>SUM(N58:N61)</f>
        <v>#VALUE!</v>
      </c>
      <c r="O57" s="395">
        <f>SUM(O58:O61)</f>
        <v>1031.3333333333333</v>
      </c>
      <c r="P57" s="396">
        <f>SUM(P58:P61)</f>
        <v>606.6666666666667</v>
      </c>
      <c r="Q57" s="396">
        <f>SUM(Q58:Q61)</f>
        <v>424.66666666666663</v>
      </c>
      <c r="R57" s="397">
        <f>SUM(R58:R61)</f>
        <v>0.12133333333333333</v>
      </c>
    </row>
    <row r="58" spans="1:18" ht="43.5" customHeight="1">
      <c r="A58" s="310" t="s">
        <v>92</v>
      </c>
      <c r="B58" s="390" t="s">
        <v>143</v>
      </c>
      <c r="C58" s="391"/>
      <c r="D58" s="392" t="s">
        <v>113</v>
      </c>
      <c r="E58" s="393" t="e">
        <f>2_NHANCONGTOANĐAC!G48</f>
        <v>#VALUE!</v>
      </c>
      <c r="F58" s="398"/>
      <c r="G58" s="399">
        <f>P58*$Q$2*10</f>
        <v>0</v>
      </c>
      <c r="H58" s="400"/>
      <c r="I58" s="398"/>
      <c r="J58" s="400"/>
      <c r="K58" s="400"/>
      <c r="L58" s="393" t="e">
        <f t="shared" si="19"/>
        <v>#VALUE!</v>
      </c>
      <c r="M58" s="311" t="e">
        <f>E58*'He so chung'!$D$18/100</f>
        <v>#VALUE!</v>
      </c>
      <c r="N58" s="393" t="e">
        <f t="shared" si="20"/>
        <v>#VALUE!</v>
      </c>
      <c r="O58" s="393">
        <f>P58+Q58</f>
        <v>170</v>
      </c>
      <c r="P58" s="393">
        <f>R58*$P$62</f>
        <v>100</v>
      </c>
      <c r="Q58" s="393">
        <f>R58*$Q$62</f>
        <v>70</v>
      </c>
      <c r="R58" s="393">
        <f>2_NHANCONGTOANĐAC!F48</f>
        <v>0.02</v>
      </c>
    </row>
    <row r="59" spans="1:18" ht="48.75" customHeight="1">
      <c r="A59" s="310" t="s">
        <v>92</v>
      </c>
      <c r="B59" s="344" t="s">
        <v>144</v>
      </c>
      <c r="C59" s="391"/>
      <c r="D59" s="392" t="s">
        <v>113</v>
      </c>
      <c r="E59" s="393" t="e">
        <f>2_NHANCONGTOANĐAC!G49</f>
        <v>#VALUE!</v>
      </c>
      <c r="F59" s="398"/>
      <c r="G59" s="399">
        <f>P59*$Q$2*10</f>
        <v>0</v>
      </c>
      <c r="H59" s="400"/>
      <c r="I59" s="393">
        <f>'4-VLIEU'!L13</f>
        <v>645</v>
      </c>
      <c r="J59" s="393">
        <f>'5-THIETBI'!J8</f>
        <v>2640</v>
      </c>
      <c r="K59" s="400"/>
      <c r="L59" s="393" t="e">
        <f t="shared" si="19"/>
        <v>#VALUE!</v>
      </c>
      <c r="M59" s="311" t="e">
        <f>E59*'He so chung'!$D$18/100</f>
        <v>#VALUE!</v>
      </c>
      <c r="N59" s="393" t="e">
        <f t="shared" si="20"/>
        <v>#VALUE!</v>
      </c>
      <c r="O59" s="393">
        <f>P59+Q59</f>
        <v>578</v>
      </c>
      <c r="P59" s="393">
        <f>R59*$P$62</f>
        <v>340</v>
      </c>
      <c r="Q59" s="393">
        <f>R59*$Q$62</f>
        <v>238.00000000000003</v>
      </c>
      <c r="R59" s="393">
        <f>2_NHANCONGTOANĐAC!F49</f>
        <v>0.068</v>
      </c>
    </row>
    <row r="60" spans="1:18" ht="37.5" customHeight="1">
      <c r="A60" s="310" t="s">
        <v>92</v>
      </c>
      <c r="B60" s="390" t="s">
        <v>127</v>
      </c>
      <c r="C60" s="391"/>
      <c r="D60" s="392" t="s">
        <v>113</v>
      </c>
      <c r="E60" s="393" t="e">
        <f>2_NHANCONGTOANĐAC!G50</f>
        <v>#VALUE!</v>
      </c>
      <c r="F60" s="398"/>
      <c r="G60" s="399">
        <f>P60*$Q$2*10</f>
        <v>0</v>
      </c>
      <c r="H60" s="400"/>
      <c r="I60" s="398"/>
      <c r="J60" s="400"/>
      <c r="K60" s="400"/>
      <c r="L60" s="393" t="e">
        <f t="shared" si="19"/>
        <v>#VALUE!</v>
      </c>
      <c r="M60" s="311" t="e">
        <f>E60*'He so chung'!$D$18/100</f>
        <v>#VALUE!</v>
      </c>
      <c r="N60" s="393" t="e">
        <f t="shared" si="20"/>
        <v>#VALUE!</v>
      </c>
      <c r="O60" s="393">
        <f>P60+Q60</f>
        <v>141.66666666666666</v>
      </c>
      <c r="P60" s="393">
        <f>R60*$P$62</f>
        <v>83.33333333333333</v>
      </c>
      <c r="Q60" s="393">
        <f>R60*$Q$62</f>
        <v>58.333333333333336</v>
      </c>
      <c r="R60" s="393">
        <f>2_NHANCONGTOANĐAC!F50</f>
        <v>0.016666666666666666</v>
      </c>
    </row>
    <row r="61" spans="1:18" ht="30" customHeight="1">
      <c r="A61" s="310" t="s">
        <v>92</v>
      </c>
      <c r="B61" s="390" t="s">
        <v>125</v>
      </c>
      <c r="C61" s="391"/>
      <c r="D61" s="392" t="s">
        <v>113</v>
      </c>
      <c r="E61" s="393" t="e">
        <f>2_NHANCONGTOANĐAC!G51</f>
        <v>#VALUE!</v>
      </c>
      <c r="F61" s="398"/>
      <c r="G61" s="399">
        <f>P61*$Q$2*10</f>
        <v>0</v>
      </c>
      <c r="H61" s="400"/>
      <c r="I61" s="398"/>
      <c r="J61" s="400"/>
      <c r="K61" s="400"/>
      <c r="L61" s="393" t="e">
        <f t="shared" si="19"/>
        <v>#VALUE!</v>
      </c>
      <c r="M61" s="311" t="e">
        <f>E61*'He so chung'!$D$18/100</f>
        <v>#VALUE!</v>
      </c>
      <c r="N61" s="393" t="e">
        <f t="shared" si="20"/>
        <v>#VALUE!</v>
      </c>
      <c r="O61" s="393">
        <f>P61+Q61</f>
        <v>141.66666666666666</v>
      </c>
      <c r="P61" s="393">
        <f>R61*$P$62</f>
        <v>83.33333333333333</v>
      </c>
      <c r="Q61" s="393">
        <f>R61*$Q$62</f>
        <v>58.333333333333336</v>
      </c>
      <c r="R61" s="393">
        <f>2_NHANCONGTOANĐAC!F51</f>
        <v>0.016666666666666666</v>
      </c>
    </row>
    <row r="62" spans="1:18" s="293" customFormat="1" ht="17.25" customHeight="1">
      <c r="A62" s="307"/>
      <c r="B62" s="321"/>
      <c r="C62" s="309"/>
      <c r="D62" s="401"/>
      <c r="E62" s="402"/>
      <c r="F62" s="402"/>
      <c r="G62" s="402"/>
      <c r="H62" s="402"/>
      <c r="I62" s="402"/>
      <c r="J62" s="402"/>
      <c r="K62" s="402"/>
      <c r="L62" s="393"/>
      <c r="M62" s="393"/>
      <c r="N62" s="393"/>
      <c r="O62" s="393"/>
      <c r="P62" s="393">
        <f>'He so chung'!D23</f>
        <v>5000</v>
      </c>
      <c r="Q62" s="393">
        <f>'He so chung'!D24</f>
        <v>3500</v>
      </c>
      <c r="R62" s="393"/>
    </row>
    <row r="63" spans="1:18" s="293" customFormat="1" ht="77.25" customHeight="1">
      <c r="A63" s="300" t="s">
        <v>2</v>
      </c>
      <c r="B63" s="426" t="s">
        <v>238</v>
      </c>
      <c r="C63" s="403" t="s">
        <v>97</v>
      </c>
      <c r="D63" s="401"/>
      <c r="E63" s="393">
        <f>'[3]THDG SX MOC'!$J$16</f>
        <v>26667.632569260008</v>
      </c>
      <c r="F63" s="398"/>
      <c r="G63" s="399"/>
      <c r="H63" s="393"/>
      <c r="I63" s="393">
        <f>'[3]THDG SX MOC'!$I$16</f>
        <v>28856.30920942176</v>
      </c>
      <c r="J63" s="393">
        <f>'[3]THDG SX MOC'!$K$16</f>
        <v>4865.25309159096</v>
      </c>
      <c r="K63" s="393"/>
      <c r="L63" s="393">
        <f>SUM(E63:K63)</f>
        <v>60389.194870272724</v>
      </c>
      <c r="M63" s="393">
        <f>L63*5%</f>
        <v>3019.4597435136366</v>
      </c>
      <c r="N63" s="393">
        <f t="shared" si="20"/>
        <v>63408.65461378636</v>
      </c>
      <c r="O63" s="393"/>
      <c r="P63" s="393"/>
      <c r="Q63" s="393"/>
      <c r="R63" s="393"/>
    </row>
    <row r="64" spans="1:18" s="293" customFormat="1" ht="18.75" customHeight="1">
      <c r="A64" s="404"/>
      <c r="B64" s="405"/>
      <c r="C64" s="406"/>
      <c r="D64" s="404"/>
      <c r="E64" s="407"/>
      <c r="F64" s="407"/>
      <c r="G64" s="407"/>
      <c r="H64" s="407"/>
      <c r="I64" s="407"/>
      <c r="J64" s="407"/>
      <c r="K64" s="407"/>
      <c r="L64" s="407"/>
      <c r="M64" s="407"/>
      <c r="N64" s="408"/>
      <c r="O64" s="409"/>
      <c r="P64" s="409"/>
      <c r="Q64" s="409"/>
      <c r="R64" s="410"/>
    </row>
    <row r="65" spans="1:18" s="293" customFormat="1" ht="24.75" customHeight="1">
      <c r="A65" s="534"/>
      <c r="B65" s="537" t="s">
        <v>146</v>
      </c>
      <c r="C65" s="411" t="s">
        <v>110</v>
      </c>
      <c r="D65" s="411" t="s">
        <v>21</v>
      </c>
      <c r="E65" s="412" t="e">
        <f>E$7+E$9+E$11+E14+E22+E30+E$39+E$45+E49+E$56+E$57+E$63</f>
        <v>#VALUE!</v>
      </c>
      <c r="F65" s="412">
        <f aca="true" t="shared" si="25" ref="F65:Q65">F$7+F$9+F$11+F14+F22+F30+F$39+F$45+F49+F$56+F$57+F$63</f>
        <v>0</v>
      </c>
      <c r="G65" s="412">
        <f t="shared" si="25"/>
        <v>0</v>
      </c>
      <c r="H65" s="412">
        <f t="shared" si="25"/>
        <v>567.937321937322</v>
      </c>
      <c r="I65" s="412">
        <f t="shared" si="25"/>
        <v>32779.64254275509</v>
      </c>
      <c r="J65" s="412">
        <f t="shared" si="25"/>
        <v>18559.65309159096</v>
      </c>
      <c r="K65" s="412">
        <f t="shared" si="25"/>
        <v>0</v>
      </c>
      <c r="L65" s="412" t="e">
        <f>L$7+L$9+L$11+L14+L22+L30+L$39+L$45+L49+L$56+L$57+L$63</f>
        <v>#VALUE!</v>
      </c>
      <c r="M65" s="412" t="e">
        <f t="shared" si="25"/>
        <v>#VALUE!</v>
      </c>
      <c r="N65" s="412" t="e">
        <f t="shared" si="25"/>
        <v>#VALUE!</v>
      </c>
      <c r="O65" s="412">
        <f t="shared" si="25"/>
        <v>12608.36166666667</v>
      </c>
      <c r="P65" s="412">
        <f t="shared" si="25"/>
        <v>7416.683333333333</v>
      </c>
      <c r="Q65" s="412">
        <f t="shared" si="25"/>
        <v>5191.678333333334</v>
      </c>
      <c r="R65" s="413">
        <f>R$7+R$9+R$11+R14+R22+R30+R$39+R$45+R49+R$56+R$57+R$63</f>
        <v>1.4833366666666667</v>
      </c>
    </row>
    <row r="66" spans="1:18" s="293" customFormat="1" ht="24.75" customHeight="1">
      <c r="A66" s="535"/>
      <c r="B66" s="524"/>
      <c r="C66" s="411" t="s">
        <v>110</v>
      </c>
      <c r="D66" s="411" t="s">
        <v>19</v>
      </c>
      <c r="E66" s="414" t="e">
        <f>E$7+E$9+E$11+E15+E23+E31+E$39+E$45+E50+E$56+E$57+E$63</f>
        <v>#VALUE!</v>
      </c>
      <c r="F66" s="414">
        <f aca="true" t="shared" si="26" ref="F66:R66">F$7+F$9+F$11+F15+F23+F31+F$39+F$45+F50+F$56+F$57+F$63</f>
        <v>0</v>
      </c>
      <c r="G66" s="414">
        <f t="shared" si="26"/>
        <v>0</v>
      </c>
      <c r="H66" s="415">
        <f t="shared" si="26"/>
        <v>623.0641025641027</v>
      </c>
      <c r="I66" s="414">
        <f t="shared" si="26"/>
        <v>33482.14254275509</v>
      </c>
      <c r="J66" s="414">
        <f t="shared" si="26"/>
        <v>20138.85309159096</v>
      </c>
      <c r="K66" s="414">
        <f t="shared" si="26"/>
        <v>0</v>
      </c>
      <c r="L66" s="414" t="e">
        <f t="shared" si="26"/>
        <v>#VALUE!</v>
      </c>
      <c r="M66" s="414" t="e">
        <f t="shared" si="26"/>
        <v>#VALUE!</v>
      </c>
      <c r="N66" s="414" t="e">
        <f t="shared" si="26"/>
        <v>#VALUE!</v>
      </c>
      <c r="O66" s="414">
        <f t="shared" si="26"/>
        <v>16475.05214285714</v>
      </c>
      <c r="P66" s="414">
        <f t="shared" si="26"/>
        <v>9691.207142857142</v>
      </c>
      <c r="Q66" s="414">
        <f t="shared" si="26"/>
        <v>6783.844999999999</v>
      </c>
      <c r="R66" s="416">
        <f t="shared" si="26"/>
        <v>1.9382414285714287</v>
      </c>
    </row>
    <row r="67" spans="1:18" s="293" customFormat="1" ht="24.75" customHeight="1">
      <c r="A67" s="535"/>
      <c r="B67" s="524"/>
      <c r="C67" s="411" t="s">
        <v>110</v>
      </c>
      <c r="D67" s="411" t="s">
        <v>5</v>
      </c>
      <c r="E67" s="414" t="e">
        <f aca="true" t="shared" si="27" ref="E67:R67">E$7+E$9+E$11+E16+E24+E32+E$39+E$45+E51+E$56+E$57+E$63</f>
        <v>#VALUE!</v>
      </c>
      <c r="F67" s="414">
        <f t="shared" si="27"/>
        <v>0</v>
      </c>
      <c r="G67" s="414">
        <f t="shared" si="27"/>
        <v>0</v>
      </c>
      <c r="H67" s="414">
        <f t="shared" si="27"/>
        <v>678.1908831908831</v>
      </c>
      <c r="I67" s="414">
        <f t="shared" si="27"/>
        <v>34184.64254275509</v>
      </c>
      <c r="J67" s="414">
        <f t="shared" si="27"/>
        <v>23297.25309159096</v>
      </c>
      <c r="K67" s="414">
        <f t="shared" si="27"/>
        <v>0</v>
      </c>
      <c r="L67" s="414" t="e">
        <f t="shared" si="27"/>
        <v>#VALUE!</v>
      </c>
      <c r="M67" s="414" t="e">
        <f t="shared" si="27"/>
        <v>#VALUE!</v>
      </c>
      <c r="N67" s="414" t="e">
        <f t="shared" si="27"/>
        <v>#VALUE!</v>
      </c>
      <c r="O67" s="414">
        <f t="shared" si="27"/>
        <v>20410.795000000002</v>
      </c>
      <c r="P67" s="414">
        <f t="shared" si="27"/>
        <v>12006.35</v>
      </c>
      <c r="Q67" s="414">
        <f t="shared" si="27"/>
        <v>8404.445</v>
      </c>
      <c r="R67" s="416">
        <f t="shared" si="27"/>
        <v>2.4012700000000002</v>
      </c>
    </row>
    <row r="68" spans="1:18" s="293" customFormat="1" ht="24.75" customHeight="1">
      <c r="A68" s="535"/>
      <c r="B68" s="524"/>
      <c r="C68" s="411" t="s">
        <v>110</v>
      </c>
      <c r="D68" s="417" t="s">
        <v>16</v>
      </c>
      <c r="E68" s="414" t="e">
        <f>E$7+E$9+E$11+E17+E25+E33+E$39+E$45+E52+E$56+E$57+E$63</f>
        <v>#VALUE!</v>
      </c>
      <c r="F68" s="414">
        <f aca="true" t="shared" si="28" ref="F68:R68">F$7+F$9+F$11+F17+F25+F33+F$39+F$45+F52+F$56+F$57+F$63</f>
        <v>0</v>
      </c>
      <c r="G68" s="414">
        <f t="shared" si="28"/>
        <v>0</v>
      </c>
      <c r="H68" s="414">
        <f t="shared" si="28"/>
        <v>760.8810541310542</v>
      </c>
      <c r="I68" s="414">
        <f t="shared" si="28"/>
        <v>35355.47587608843</v>
      </c>
      <c r="J68" s="414">
        <f t="shared" si="28"/>
        <v>26455.653091590957</v>
      </c>
      <c r="K68" s="414">
        <f t="shared" si="28"/>
        <v>0</v>
      </c>
      <c r="L68" s="414" t="e">
        <f t="shared" si="28"/>
        <v>#VALUE!</v>
      </c>
      <c r="M68" s="414" t="e">
        <f t="shared" si="28"/>
        <v>#VALUE!</v>
      </c>
      <c r="N68" s="414" t="e">
        <f t="shared" si="28"/>
        <v>#VALUE!</v>
      </c>
      <c r="O68" s="414">
        <f t="shared" si="28"/>
        <v>24660.114999999998</v>
      </c>
      <c r="P68" s="414">
        <f t="shared" si="28"/>
        <v>14505.95</v>
      </c>
      <c r="Q68" s="414">
        <f t="shared" si="28"/>
        <v>10154.164999999999</v>
      </c>
      <c r="R68" s="416">
        <f t="shared" si="28"/>
        <v>2.90119</v>
      </c>
    </row>
    <row r="69" spans="1:18" s="293" customFormat="1" ht="24.75" customHeight="1">
      <c r="A69" s="535"/>
      <c r="B69" s="524"/>
      <c r="C69" s="411" t="s">
        <v>110</v>
      </c>
      <c r="D69" s="417" t="s">
        <v>15</v>
      </c>
      <c r="E69" s="414" t="e">
        <f aca="true" t="shared" si="29" ref="E69:R69">E$7+E$9+E$11+E18+E26+E34+E$39+E$45+E53+E$56+E$57+E$63</f>
        <v>#VALUE!</v>
      </c>
      <c r="F69" s="414">
        <f t="shared" si="29"/>
        <v>0</v>
      </c>
      <c r="G69" s="414">
        <f t="shared" si="29"/>
        <v>0</v>
      </c>
      <c r="H69" s="414">
        <f t="shared" si="29"/>
        <v>788.4444444444445</v>
      </c>
      <c r="I69" s="414">
        <f t="shared" si="29"/>
        <v>35589.64254275509</v>
      </c>
      <c r="J69" s="414">
        <f t="shared" si="29"/>
        <v>28034.85309159096</v>
      </c>
      <c r="K69" s="414">
        <f t="shared" si="29"/>
        <v>0</v>
      </c>
      <c r="L69" s="414" t="e">
        <f t="shared" si="29"/>
        <v>#VALUE!</v>
      </c>
      <c r="M69" s="414" t="e">
        <f t="shared" si="29"/>
        <v>#VALUE!</v>
      </c>
      <c r="N69" s="414" t="e">
        <f t="shared" si="29"/>
        <v>#VALUE!</v>
      </c>
      <c r="O69" s="414">
        <f t="shared" si="29"/>
        <v>30509.36166666666</v>
      </c>
      <c r="P69" s="414">
        <f t="shared" si="29"/>
        <v>17946.68333333333</v>
      </c>
      <c r="Q69" s="414">
        <f t="shared" si="29"/>
        <v>12562.678333333333</v>
      </c>
      <c r="R69" s="416">
        <f t="shared" si="29"/>
        <v>3.5893366666666666</v>
      </c>
    </row>
    <row r="70" spans="1:18" s="293" customFormat="1" ht="24.75" customHeight="1">
      <c r="A70" s="536"/>
      <c r="B70" s="525"/>
      <c r="C70" s="418" t="s">
        <v>110</v>
      </c>
      <c r="D70" s="418" t="s">
        <v>14</v>
      </c>
      <c r="E70" s="419" t="e">
        <f aca="true" t="shared" si="30" ref="E70:R70">E$7+E$9+E$11+E19+E27+E35+E$39+E$45+E54+E$56+E$57+E$63</f>
        <v>#VALUE!</v>
      </c>
      <c r="F70" s="419">
        <f t="shared" si="30"/>
        <v>0</v>
      </c>
      <c r="G70" s="419">
        <f t="shared" si="30"/>
        <v>0</v>
      </c>
      <c r="H70" s="419">
        <f t="shared" si="30"/>
        <v>816.0078347578349</v>
      </c>
      <c r="I70" s="419">
        <f t="shared" si="30"/>
        <v>35823.80920942176</v>
      </c>
      <c r="J70" s="419">
        <f t="shared" si="30"/>
        <v>29614.05309159096</v>
      </c>
      <c r="K70" s="419">
        <f t="shared" si="30"/>
        <v>0</v>
      </c>
      <c r="L70" s="419" t="e">
        <f t="shared" si="30"/>
        <v>#VALUE!</v>
      </c>
      <c r="M70" s="419" t="e">
        <f t="shared" si="30"/>
        <v>#VALUE!</v>
      </c>
      <c r="N70" s="419" t="e">
        <f t="shared" si="30"/>
        <v>#VALUE!</v>
      </c>
      <c r="O70" s="419">
        <f t="shared" si="30"/>
        <v>37704.61166666667</v>
      </c>
      <c r="P70" s="419">
        <f t="shared" si="30"/>
        <v>22179.183333333334</v>
      </c>
      <c r="Q70" s="419">
        <f t="shared" si="30"/>
        <v>15525.428333333335</v>
      </c>
      <c r="R70" s="420">
        <f t="shared" si="30"/>
        <v>4.435836666666666</v>
      </c>
    </row>
    <row r="71" spans="1:18" ht="26.25" customHeight="1">
      <c r="A71" s="421"/>
      <c r="B71" s="422" t="s">
        <v>233</v>
      </c>
      <c r="C71" s="296"/>
      <c r="D71" s="297"/>
      <c r="E71" s="293"/>
      <c r="F71" s="293"/>
      <c r="G71" s="293"/>
      <c r="H71" s="293"/>
      <c r="I71" s="293"/>
      <c r="J71" s="293"/>
      <c r="K71" s="293"/>
      <c r="L71" s="293"/>
      <c r="M71" s="293"/>
      <c r="N71" s="306"/>
      <c r="O71" s="298"/>
      <c r="P71" s="298"/>
      <c r="Q71" s="298"/>
      <c r="R71" s="292"/>
    </row>
    <row r="72" spans="5:18" ht="16.5"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4"/>
    </row>
    <row r="73" spans="5:18" ht="16.5"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</row>
  </sheetData>
  <sheetProtection/>
  <mergeCells count="16">
    <mergeCell ref="N1:O1"/>
    <mergeCell ref="A2:O2"/>
    <mergeCell ref="M3:O3"/>
    <mergeCell ref="A4:A5"/>
    <mergeCell ref="B4:B5"/>
    <mergeCell ref="C4:C5"/>
    <mergeCell ref="D4:D5"/>
    <mergeCell ref="E4:L4"/>
    <mergeCell ref="M4:M5"/>
    <mergeCell ref="N4:N5"/>
    <mergeCell ref="O4:O5"/>
    <mergeCell ref="Q4:Q5"/>
    <mergeCell ref="R4:R5"/>
    <mergeCell ref="A65:A70"/>
    <mergeCell ref="B65:B70"/>
    <mergeCell ref="P4:P5"/>
  </mergeCells>
  <printOptions horizontalCentered="1"/>
  <pageMargins left="0.5511811023622047" right="0.35433070866141736" top="0.7480314960629921" bottom="0.7086614173228347" header="0.3937007874015748" footer="0.3937007874015748"/>
  <pageSetup firstPageNumber="13" useFirstPageNumber="1" horizontalDpi="600" verticalDpi="600" orientation="landscape" paperSize="9" scale="80" r:id="rId1"/>
  <headerFooter alignWithMargins="0">
    <oddFooter>&amp;CTrang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4"/>
  <sheetViews>
    <sheetView zoomScale="75" zoomScaleNormal="75" zoomScalePageLayoutView="0" workbookViewId="0" topLeftCell="A49">
      <selection activeCell="L23" sqref="L23"/>
    </sheetView>
  </sheetViews>
  <sheetFormatPr defaultColWidth="8.72265625" defaultRowHeight="16.5"/>
  <cols>
    <col min="1" max="1" width="6.0859375" style="1" customWidth="1"/>
    <col min="2" max="2" width="30.18359375" style="0" customWidth="1"/>
    <col min="3" max="3" width="23.6328125" style="0" customWidth="1"/>
    <col min="4" max="4" width="9.0859375" style="0" customWidth="1"/>
    <col min="5" max="5" width="13.6328125" style="0" customWidth="1"/>
    <col min="6" max="6" width="12.36328125" style="0" customWidth="1"/>
    <col min="7" max="7" width="12.453125" style="0" customWidth="1"/>
    <col min="9" max="9" width="8.90625" style="65" customWidth="1"/>
  </cols>
  <sheetData>
    <row r="1" spans="6:7" ht="24" customHeight="1">
      <c r="F1" s="544" t="s">
        <v>212</v>
      </c>
      <c r="G1" s="544"/>
    </row>
    <row r="2" spans="1:7" ht="30.75" customHeight="1">
      <c r="A2" s="545" t="s">
        <v>213</v>
      </c>
      <c r="B2" s="545"/>
      <c r="C2" s="545"/>
      <c r="D2" s="545"/>
      <c r="E2" s="545"/>
      <c r="F2" s="545"/>
      <c r="G2" s="545"/>
    </row>
    <row r="3" spans="1:7" ht="33" customHeight="1">
      <c r="A3" s="546" t="s">
        <v>0</v>
      </c>
      <c r="B3" s="546" t="s">
        <v>89</v>
      </c>
      <c r="C3" s="546" t="s">
        <v>118</v>
      </c>
      <c r="D3" s="546" t="s">
        <v>112</v>
      </c>
      <c r="E3" s="546" t="s">
        <v>128</v>
      </c>
      <c r="F3" s="549" t="s">
        <v>130</v>
      </c>
      <c r="G3" s="546" t="s">
        <v>129</v>
      </c>
    </row>
    <row r="4" spans="1:7" ht="31.5" customHeight="1">
      <c r="A4" s="547"/>
      <c r="B4" s="547"/>
      <c r="C4" s="547"/>
      <c r="D4" s="548"/>
      <c r="E4" s="548"/>
      <c r="F4" s="550"/>
      <c r="G4" s="548"/>
    </row>
    <row r="5" spans="1:13" ht="45.75" customHeight="1">
      <c r="A5" s="114">
        <v>1</v>
      </c>
      <c r="B5" s="111" t="s">
        <v>91</v>
      </c>
      <c r="C5" s="66" t="s">
        <v>235</v>
      </c>
      <c r="D5" s="112" t="s">
        <v>113</v>
      </c>
      <c r="E5" s="113" t="e">
        <f>(LUONGNGAY!K11+2*LUONGNGAY!K18+2*LUONGNGAY!K20)/4</f>
        <v>#VALUE!</v>
      </c>
      <c r="F5" s="105">
        <f>(ĐMNHANCONGTOANĐAC!E6)*4</f>
        <v>0.036</v>
      </c>
      <c r="G5" s="113" t="e">
        <f>E5*F5</f>
        <v>#VALUE!</v>
      </c>
      <c r="I5" s="61">
        <f>F5</f>
        <v>0.036</v>
      </c>
      <c r="J5" s="48">
        <f>$F5*4</f>
        <v>0.144</v>
      </c>
      <c r="K5" s="48">
        <f>$F5*4</f>
        <v>0.144</v>
      </c>
      <c r="M5">
        <v>40</v>
      </c>
    </row>
    <row r="6" spans="1:13" ht="24.75" customHeight="1">
      <c r="A6" s="28">
        <v>2</v>
      </c>
      <c r="B6" s="2" t="s">
        <v>94</v>
      </c>
      <c r="C6" s="67" t="s">
        <v>132</v>
      </c>
      <c r="D6" s="55" t="s">
        <v>113</v>
      </c>
      <c r="E6" s="98" t="e">
        <f>LUONGNGAY!K18</f>
        <v>#VALUE!</v>
      </c>
      <c r="F6" s="58">
        <f>(ĐMNHANCONGTOANĐAC!E7)</f>
        <v>0.010416666666666666</v>
      </c>
      <c r="G6" s="98" t="e">
        <f>E6*F6</f>
        <v>#VALUE!</v>
      </c>
      <c r="I6" s="61">
        <f>F6</f>
        <v>0.010416666666666666</v>
      </c>
      <c r="J6" s="47">
        <f>$F6*2</f>
        <v>0.020833333333333332</v>
      </c>
      <c r="K6" s="47">
        <f>$F6*2</f>
        <v>0.020833333333333332</v>
      </c>
      <c r="M6">
        <v>20</v>
      </c>
    </row>
    <row r="7" spans="1:13" ht="24.75" customHeight="1">
      <c r="A7" s="28">
        <v>3</v>
      </c>
      <c r="B7" s="2" t="s">
        <v>88</v>
      </c>
      <c r="C7" s="67" t="s">
        <v>132</v>
      </c>
      <c r="D7" s="55" t="s">
        <v>113</v>
      </c>
      <c r="E7" s="98" t="e">
        <f>E6</f>
        <v>#VALUE!</v>
      </c>
      <c r="F7" s="58">
        <f>(ĐMNHANCONGTOANĐAC!E8)</f>
        <v>0.020833333333333332</v>
      </c>
      <c r="G7" s="98" t="e">
        <f>E7*F7</f>
        <v>#VALUE!</v>
      </c>
      <c r="I7" s="61">
        <f>F7</f>
        <v>0.020833333333333332</v>
      </c>
      <c r="J7" s="47">
        <f>$F7*2</f>
        <v>0.041666666666666664</v>
      </c>
      <c r="K7" s="47">
        <f>$F7*2</f>
        <v>0.041666666666666664</v>
      </c>
      <c r="M7">
        <v>20</v>
      </c>
    </row>
    <row r="8" spans="1:11" ht="12" customHeight="1" hidden="1">
      <c r="A8" s="28"/>
      <c r="B8" s="2"/>
      <c r="C8" s="67"/>
      <c r="D8" s="55"/>
      <c r="E8" s="98"/>
      <c r="F8" s="68"/>
      <c r="G8" s="98"/>
      <c r="J8" s="47"/>
      <c r="K8" s="47"/>
    </row>
    <row r="9" spans="1:11" ht="41.25" customHeight="1">
      <c r="A9" s="28">
        <v>4</v>
      </c>
      <c r="B9" s="62" t="s">
        <v>120</v>
      </c>
      <c r="C9" s="67" t="s">
        <v>234</v>
      </c>
      <c r="D9" s="55" t="s">
        <v>21</v>
      </c>
      <c r="E9" s="98" t="e">
        <f>E17</f>
        <v>#VALUE!</v>
      </c>
      <c r="F9" s="69">
        <f>(ĐMNHANCONGTOANĐAC!E9)*5</f>
        <v>0.17333333333333334</v>
      </c>
      <c r="G9" s="98" t="e">
        <f>E9*F9*'He so chung'!D$14</f>
        <v>#VALUE!</v>
      </c>
      <c r="I9" s="61">
        <f aca="true" t="shared" si="0" ref="I9:I14">F9</f>
        <v>0.17333333333333334</v>
      </c>
      <c r="J9" s="48"/>
      <c r="K9" s="48"/>
    </row>
    <row r="10" spans="1:11" ht="24.75" customHeight="1">
      <c r="A10" s="28" t="s">
        <v>92</v>
      </c>
      <c r="B10" s="62"/>
      <c r="C10" s="66"/>
      <c r="D10" s="55" t="s">
        <v>19</v>
      </c>
      <c r="E10" s="98" t="e">
        <f>E9</f>
        <v>#VALUE!</v>
      </c>
      <c r="F10" s="69">
        <f>(ĐMNHANCONGTOANĐAC!E10)*5</f>
        <v>0.208</v>
      </c>
      <c r="G10" s="98" t="e">
        <f>E10*F10*'He so chung'!D$14</f>
        <v>#VALUE!</v>
      </c>
      <c r="I10" s="61">
        <f t="shared" si="0"/>
        <v>0.208</v>
      </c>
      <c r="J10" s="48"/>
      <c r="K10" s="48"/>
    </row>
    <row r="11" spans="1:11" ht="24.75" customHeight="1">
      <c r="A11" s="28" t="s">
        <v>92</v>
      </c>
      <c r="B11" s="62"/>
      <c r="C11" s="66"/>
      <c r="D11" s="55" t="s">
        <v>5</v>
      </c>
      <c r="E11" s="98" t="e">
        <f>E9</f>
        <v>#VALUE!</v>
      </c>
      <c r="F11" s="69">
        <f>(ĐMNHANCONGTOANĐAC!E11)*5</f>
        <v>0.2496</v>
      </c>
      <c r="G11" s="98" t="e">
        <f>E11*F11*'He so chung'!D$14</f>
        <v>#VALUE!</v>
      </c>
      <c r="I11" s="61">
        <f t="shared" si="0"/>
        <v>0.2496</v>
      </c>
      <c r="J11" s="48"/>
      <c r="K11" s="48"/>
    </row>
    <row r="12" spans="1:11" ht="24.75" customHeight="1">
      <c r="A12" s="28" t="s">
        <v>92</v>
      </c>
      <c r="B12" s="62"/>
      <c r="C12" s="66"/>
      <c r="D12" s="55" t="s">
        <v>16</v>
      </c>
      <c r="E12" s="98" t="e">
        <f>E9</f>
        <v>#VALUE!</v>
      </c>
      <c r="F12" s="69">
        <f>(ĐMNHANCONGTOANĐAC!E12)*5</f>
        <v>0.29952</v>
      </c>
      <c r="G12" s="98" t="e">
        <f>E12*F12*'He so chung'!D$14</f>
        <v>#VALUE!</v>
      </c>
      <c r="I12" s="61">
        <f t="shared" si="0"/>
        <v>0.29952</v>
      </c>
      <c r="J12" s="48"/>
      <c r="K12" s="48"/>
    </row>
    <row r="13" spans="1:11" ht="24.75" customHeight="1">
      <c r="A13" s="28" t="s">
        <v>92</v>
      </c>
      <c r="B13" s="62"/>
      <c r="C13" s="66"/>
      <c r="D13" s="55" t="s">
        <v>15</v>
      </c>
      <c r="E13" s="98" t="e">
        <f>E12</f>
        <v>#VALUE!</v>
      </c>
      <c r="F13" s="69">
        <f>(ĐMNHANCONGTOANĐAC!E13)*5</f>
        <v>0.32933333333333326</v>
      </c>
      <c r="G13" s="98" t="e">
        <f>E13*F13*'He so chung'!D$14</f>
        <v>#VALUE!</v>
      </c>
      <c r="I13" s="61">
        <f t="shared" si="0"/>
        <v>0.32933333333333326</v>
      </c>
      <c r="J13" s="48"/>
      <c r="K13" s="48"/>
    </row>
    <row r="14" spans="1:11" ht="24.75" customHeight="1">
      <c r="A14" s="28" t="s">
        <v>92</v>
      </c>
      <c r="B14" s="62"/>
      <c r="C14" s="66"/>
      <c r="D14" s="55" t="s">
        <v>14</v>
      </c>
      <c r="E14" s="98" t="e">
        <f>E9</f>
        <v>#VALUE!</v>
      </c>
      <c r="F14" s="69">
        <f>(ĐMNHANCONGTOANĐAC!E14)*5</f>
        <v>0.3466666666666667</v>
      </c>
      <c r="G14" s="98" t="e">
        <f>E14*F14*'He so chung'!D$14</f>
        <v>#VALUE!</v>
      </c>
      <c r="I14" s="61">
        <f t="shared" si="0"/>
        <v>0.3466666666666667</v>
      </c>
      <c r="J14" s="48"/>
      <c r="K14" s="48"/>
    </row>
    <row r="15" spans="1:11" ht="18" customHeight="1" hidden="1">
      <c r="A15" s="60"/>
      <c r="B15" s="103"/>
      <c r="C15" s="67"/>
      <c r="D15" s="59"/>
      <c r="E15" s="98"/>
      <c r="F15" s="104"/>
      <c r="G15" s="98"/>
      <c r="J15" s="48"/>
      <c r="K15" s="48"/>
    </row>
    <row r="16" spans="1:16" ht="46.5" customHeight="1">
      <c r="A16" s="60">
        <v>5</v>
      </c>
      <c r="B16" s="64" t="s">
        <v>121</v>
      </c>
      <c r="C16" s="67" t="s">
        <v>234</v>
      </c>
      <c r="D16" s="59"/>
      <c r="E16" s="98"/>
      <c r="F16" s="70"/>
      <c r="G16" s="98"/>
      <c r="I16" s="61"/>
      <c r="J16" s="48">
        <f>$F16*5</f>
        <v>0</v>
      </c>
      <c r="K16" s="48">
        <f>$F16*5</f>
        <v>0</v>
      </c>
      <c r="M16">
        <v>250</v>
      </c>
      <c r="P16">
        <f>7/480</f>
        <v>0.014583333333333334</v>
      </c>
    </row>
    <row r="17" spans="1:11" s="259" customFormat="1" ht="24.75" customHeight="1">
      <c r="A17" s="28" t="s">
        <v>92</v>
      </c>
      <c r="B17" s="63"/>
      <c r="C17" s="66"/>
      <c r="D17" s="55" t="s">
        <v>21</v>
      </c>
      <c r="E17" s="98" t="e">
        <f>E40</f>
        <v>#VALUE!</v>
      </c>
      <c r="F17" s="68">
        <f>(ĐMNHANCONGTOANĐAC!E16)*5</f>
        <v>0.625</v>
      </c>
      <c r="G17" s="98" t="e">
        <f>E17*F17*'He so chung'!D$14</f>
        <v>#VALUE!</v>
      </c>
      <c r="I17" s="260">
        <f aca="true" t="shared" si="1" ref="I17:I29">F17</f>
        <v>0.625</v>
      </c>
      <c r="J17" s="261"/>
      <c r="K17" s="261"/>
    </row>
    <row r="18" spans="1:11" s="262" customFormat="1" ht="24.75" customHeight="1">
      <c r="A18" s="28" t="s">
        <v>92</v>
      </c>
      <c r="B18" s="63"/>
      <c r="C18" s="63"/>
      <c r="D18" s="55" t="s">
        <v>19</v>
      </c>
      <c r="E18" s="98" t="e">
        <f>E17</f>
        <v>#VALUE!</v>
      </c>
      <c r="F18" s="68">
        <f>(ĐMNHANCONGTOANĐAC!E17)*5</f>
        <v>0.9375</v>
      </c>
      <c r="G18" s="98" t="e">
        <f>E18*F18*'He so chung'!D$14</f>
        <v>#VALUE!</v>
      </c>
      <c r="I18" s="263">
        <f t="shared" si="1"/>
        <v>0.9375</v>
      </c>
      <c r="J18" s="264"/>
      <c r="K18" s="264"/>
    </row>
    <row r="19" spans="1:11" s="262" customFormat="1" ht="24.75" customHeight="1">
      <c r="A19" s="28" t="s">
        <v>92</v>
      </c>
      <c r="B19" s="63"/>
      <c r="C19" s="63"/>
      <c r="D19" s="55" t="s">
        <v>5</v>
      </c>
      <c r="E19" s="98" t="e">
        <f>E17</f>
        <v>#VALUE!</v>
      </c>
      <c r="F19" s="68">
        <f>(ĐMNHANCONGTOANĐAC!E18)*5</f>
        <v>1.25</v>
      </c>
      <c r="G19" s="98" t="e">
        <f>E19*F19*'He so chung'!D$14</f>
        <v>#VALUE!</v>
      </c>
      <c r="I19" s="263">
        <f t="shared" si="1"/>
        <v>1.25</v>
      </c>
      <c r="J19" s="264"/>
      <c r="K19" s="264"/>
    </row>
    <row r="20" spans="1:11" s="262" customFormat="1" ht="24.75" customHeight="1">
      <c r="A20" s="28" t="s">
        <v>92</v>
      </c>
      <c r="B20" s="63"/>
      <c r="C20" s="63"/>
      <c r="D20" s="55" t="s">
        <v>16</v>
      </c>
      <c r="E20" s="98" t="e">
        <f>E17</f>
        <v>#VALUE!</v>
      </c>
      <c r="F20" s="68">
        <f>(ĐMNHANCONGTOANĐAC!E19)*5</f>
        <v>1.5625</v>
      </c>
      <c r="G20" s="98" t="e">
        <f>E20*F20*'He so chung'!D$14</f>
        <v>#VALUE!</v>
      </c>
      <c r="I20" s="263">
        <f t="shared" si="1"/>
        <v>1.5625</v>
      </c>
      <c r="J20" s="264"/>
      <c r="K20" s="264"/>
    </row>
    <row r="21" spans="1:11" s="262" customFormat="1" ht="24.75" customHeight="1">
      <c r="A21" s="28" t="s">
        <v>92</v>
      </c>
      <c r="B21" s="63"/>
      <c r="C21" s="63"/>
      <c r="D21" s="55" t="s">
        <v>15</v>
      </c>
      <c r="E21" s="98" t="e">
        <f>E17</f>
        <v>#VALUE!</v>
      </c>
      <c r="F21" s="68">
        <f>(ĐMNHANCONGTOANĐAC!E20)*5</f>
        <v>1.9791666666666665</v>
      </c>
      <c r="G21" s="98" t="e">
        <f>E21*F21*'He so chung'!D$14</f>
        <v>#VALUE!</v>
      </c>
      <c r="I21" s="263">
        <f t="shared" si="1"/>
        <v>1.9791666666666665</v>
      </c>
      <c r="J21" s="264"/>
      <c r="K21" s="264"/>
    </row>
    <row r="22" spans="1:11" s="265" customFormat="1" ht="24.75" customHeight="1">
      <c r="A22" s="106" t="s">
        <v>92</v>
      </c>
      <c r="B22" s="107"/>
      <c r="C22" s="107"/>
      <c r="D22" s="108" t="s">
        <v>14</v>
      </c>
      <c r="E22" s="102" t="e">
        <f>E17</f>
        <v>#VALUE!</v>
      </c>
      <c r="F22" s="109">
        <f>(ĐMNHANCONGTOANĐAC!E21)*5</f>
        <v>2.1875</v>
      </c>
      <c r="G22" s="102" t="e">
        <f>E22*F22*'He so chung'!D$14</f>
        <v>#VALUE!</v>
      </c>
      <c r="I22" s="266">
        <f t="shared" si="1"/>
        <v>2.1875</v>
      </c>
      <c r="J22" s="267"/>
      <c r="K22" s="267"/>
    </row>
    <row r="23" spans="1:11" s="72" customFormat="1" ht="68.25" customHeight="1">
      <c r="A23" s="257">
        <v>6</v>
      </c>
      <c r="B23" s="227" t="s">
        <v>232</v>
      </c>
      <c r="C23" s="83" t="s">
        <v>236</v>
      </c>
      <c r="D23" s="56"/>
      <c r="E23" s="100"/>
      <c r="F23" s="258"/>
      <c r="G23" s="100"/>
      <c r="I23" s="73"/>
      <c r="J23" s="74"/>
      <c r="K23" s="74"/>
    </row>
    <row r="24" spans="1:11" ht="30" customHeight="1">
      <c r="A24" s="75" t="s">
        <v>92</v>
      </c>
      <c r="B24" s="76"/>
      <c r="C24" s="77"/>
      <c r="D24" s="55" t="s">
        <v>21</v>
      </c>
      <c r="E24" s="98" t="e">
        <f>LUONGNGAY!K17</f>
        <v>#VALUE!</v>
      </c>
      <c r="F24" s="68">
        <f>(ĐMNHANCONGTOANĐAC!E23)</f>
        <v>0.025</v>
      </c>
      <c r="G24" s="98" t="e">
        <f>E24*F24*'He so chung'!D$14</f>
        <v>#VALUE!</v>
      </c>
      <c r="I24" s="61">
        <f t="shared" si="1"/>
        <v>0.025</v>
      </c>
      <c r="J24" s="48"/>
      <c r="K24" s="48"/>
    </row>
    <row r="25" spans="1:11" ht="24.75" customHeight="1">
      <c r="A25" s="28" t="s">
        <v>92</v>
      </c>
      <c r="B25" s="63"/>
      <c r="C25" s="63"/>
      <c r="D25" s="55" t="s">
        <v>19</v>
      </c>
      <c r="E25" s="98" t="e">
        <f>E24</f>
        <v>#VALUE!</v>
      </c>
      <c r="F25" s="68">
        <f>(ĐMNHANCONGTOANĐAC!E24)</f>
        <v>0.02857142857142857</v>
      </c>
      <c r="G25" s="98" t="e">
        <f>E25*F25*'He so chung'!D$14</f>
        <v>#VALUE!</v>
      </c>
      <c r="I25" s="61">
        <f t="shared" si="1"/>
        <v>0.02857142857142857</v>
      </c>
      <c r="J25" s="48"/>
      <c r="K25" s="48"/>
    </row>
    <row r="26" spans="1:11" ht="24.75" customHeight="1">
      <c r="A26" s="28" t="s">
        <v>92</v>
      </c>
      <c r="B26" s="63"/>
      <c r="C26" s="63"/>
      <c r="D26" s="55" t="s">
        <v>5</v>
      </c>
      <c r="E26" s="98" t="e">
        <f>E24</f>
        <v>#VALUE!</v>
      </c>
      <c r="F26" s="68">
        <f>(ĐMNHANCONGTOANĐAC!E25)</f>
        <v>0.03333333333333333</v>
      </c>
      <c r="G26" s="98" t="e">
        <f>E26*F26*'He so chung'!D$14</f>
        <v>#VALUE!</v>
      </c>
      <c r="I26" s="61">
        <f t="shared" si="1"/>
        <v>0.03333333333333333</v>
      </c>
      <c r="J26" s="48"/>
      <c r="K26" s="48"/>
    </row>
    <row r="27" spans="1:13" ht="24.75" customHeight="1">
      <c r="A27" s="28" t="s">
        <v>92</v>
      </c>
      <c r="B27" s="78"/>
      <c r="C27" s="78"/>
      <c r="D27" s="55" t="s">
        <v>16</v>
      </c>
      <c r="E27" s="98" t="e">
        <f>E24</f>
        <v>#VALUE!</v>
      </c>
      <c r="F27" s="68">
        <f>(ĐMNHANCONGTOANĐAC!E26)</f>
        <v>0.06666666666666667</v>
      </c>
      <c r="G27" s="98" t="e">
        <f>E27*F27*'He so chung'!D$14</f>
        <v>#VALUE!</v>
      </c>
      <c r="I27" s="61">
        <f t="shared" si="1"/>
        <v>0.06666666666666667</v>
      </c>
      <c r="J27" s="47">
        <f>$F27*2</f>
        <v>0.13333333333333333</v>
      </c>
      <c r="K27" s="47">
        <f>$F27*2</f>
        <v>0.13333333333333333</v>
      </c>
      <c r="M27">
        <v>40</v>
      </c>
    </row>
    <row r="28" spans="1:11" ht="24.75" customHeight="1">
      <c r="A28" s="28" t="s">
        <v>92</v>
      </c>
      <c r="B28" s="78"/>
      <c r="C28" s="78"/>
      <c r="D28" s="55" t="s">
        <v>15</v>
      </c>
      <c r="E28" s="98" t="e">
        <f>E24</f>
        <v>#VALUE!</v>
      </c>
      <c r="F28" s="68">
        <f>(ĐMNHANCONGTOANĐAC!E27)</f>
        <v>0.1</v>
      </c>
      <c r="G28" s="98" t="e">
        <f>E28*F28*'He so chung'!D$14</f>
        <v>#VALUE!</v>
      </c>
      <c r="I28" s="61">
        <f t="shared" si="1"/>
        <v>0.1</v>
      </c>
      <c r="J28" s="47"/>
      <c r="K28" s="47"/>
    </row>
    <row r="29" spans="1:11" ht="22.5" customHeight="1">
      <c r="A29" s="28" t="s">
        <v>92</v>
      </c>
      <c r="B29" s="78"/>
      <c r="C29" s="78"/>
      <c r="D29" s="55" t="s">
        <v>14</v>
      </c>
      <c r="E29" s="98" t="e">
        <f>E24</f>
        <v>#VALUE!</v>
      </c>
      <c r="F29" s="68">
        <f>(ĐMNHANCONGTOANĐAC!E28)</f>
        <v>0.2</v>
      </c>
      <c r="G29" s="98" t="e">
        <f>E29*F29*'He so chung'!D$14</f>
        <v>#VALUE!</v>
      </c>
      <c r="I29" s="61">
        <f t="shared" si="1"/>
        <v>0.2</v>
      </c>
      <c r="J29" s="47"/>
      <c r="K29" s="47"/>
    </row>
    <row r="30" spans="1:13" ht="35.25" customHeight="1">
      <c r="A30" s="55" t="s">
        <v>13</v>
      </c>
      <c r="B30" s="2" t="s">
        <v>139</v>
      </c>
      <c r="C30" s="66" t="s">
        <v>236</v>
      </c>
      <c r="D30" s="79"/>
      <c r="E30" s="98"/>
      <c r="F30" s="68"/>
      <c r="G30" s="98"/>
      <c r="J30" s="47">
        <f aca="true" t="shared" si="2" ref="J30:K35">$F30*2</f>
        <v>0</v>
      </c>
      <c r="K30" s="47">
        <f t="shared" si="2"/>
        <v>0</v>
      </c>
      <c r="M30">
        <v>60</v>
      </c>
    </row>
    <row r="31" spans="1:13" ht="24.75" customHeight="1">
      <c r="A31" s="55" t="s">
        <v>92</v>
      </c>
      <c r="B31" s="80" t="s">
        <v>114</v>
      </c>
      <c r="C31" s="81"/>
      <c r="D31" s="79"/>
      <c r="E31" s="98" t="e">
        <f>E29</f>
        <v>#VALUE!</v>
      </c>
      <c r="F31" s="68">
        <f>(ĐMNHANCONGTOANĐAC!E30)</f>
        <v>0.02736</v>
      </c>
      <c r="G31" s="98" t="e">
        <f>E31*F31*'He so chung'!D$14</f>
        <v>#VALUE!</v>
      </c>
      <c r="I31" s="61">
        <f>F31</f>
        <v>0.02736</v>
      </c>
      <c r="J31" s="47">
        <f t="shared" si="2"/>
        <v>0.05472</v>
      </c>
      <c r="K31" s="47">
        <f t="shared" si="2"/>
        <v>0.05472</v>
      </c>
      <c r="M31">
        <v>80</v>
      </c>
    </row>
    <row r="32" spans="1:11" s="238" customFormat="1" ht="24.75" customHeight="1">
      <c r="A32" s="232" t="s">
        <v>92</v>
      </c>
      <c r="B32" s="233" t="s">
        <v>115</v>
      </c>
      <c r="C32" s="234"/>
      <c r="D32" s="235"/>
      <c r="E32" s="236" t="e">
        <f>E31</f>
        <v>#VALUE!</v>
      </c>
      <c r="F32" s="237">
        <f>(ĐMNHANCONGTOANĐAC!E31)</f>
        <v>0.042839999999999996</v>
      </c>
      <c r="G32" s="236" t="e">
        <f>E32*F32*'He so chung'!D$14</f>
        <v>#VALUE!</v>
      </c>
      <c r="I32" s="239">
        <f>F32</f>
        <v>0.042839999999999996</v>
      </c>
      <c r="J32" s="240"/>
      <c r="K32" s="240"/>
    </row>
    <row r="33" spans="1:11" ht="27" customHeight="1">
      <c r="A33" s="55" t="s">
        <v>92</v>
      </c>
      <c r="B33" s="80" t="s">
        <v>116</v>
      </c>
      <c r="C33" s="82"/>
      <c r="D33" s="79"/>
      <c r="E33" s="98" t="e">
        <f>E32</f>
        <v>#VALUE!</v>
      </c>
      <c r="F33" s="68">
        <f>(ĐMNHANCONGTOANĐAC!E32)</f>
        <v>0.06839999999999999</v>
      </c>
      <c r="G33" s="98" t="e">
        <f>E33*F33*'He so chung'!D$14</f>
        <v>#VALUE!</v>
      </c>
      <c r="I33" s="61">
        <f>F33</f>
        <v>0.06839999999999999</v>
      </c>
      <c r="J33" s="47">
        <f t="shared" si="2"/>
        <v>0.13679999999999998</v>
      </c>
      <c r="K33" s="47">
        <f t="shared" si="2"/>
        <v>0.13679999999999998</v>
      </c>
    </row>
    <row r="34" spans="1:11" ht="27" customHeight="1">
      <c r="A34" s="56" t="s">
        <v>92</v>
      </c>
      <c r="B34" s="80" t="s">
        <v>98</v>
      </c>
      <c r="C34" s="121"/>
      <c r="D34" s="79"/>
      <c r="E34" s="98" t="e">
        <f>E31</f>
        <v>#VALUE!</v>
      </c>
      <c r="F34" s="68">
        <f>(ĐMNHANCONGTOANĐAC!E33)</f>
        <v>0.11159999999999999</v>
      </c>
      <c r="G34" s="98" t="e">
        <f>E34*F34*'He so chung'!D$14</f>
        <v>#VALUE!</v>
      </c>
      <c r="I34" s="61">
        <f>F34</f>
        <v>0.11159999999999999</v>
      </c>
      <c r="J34" s="47"/>
      <c r="K34" s="47"/>
    </row>
    <row r="35" spans="1:11" ht="30.75" customHeight="1">
      <c r="A35" s="56" t="s">
        <v>12</v>
      </c>
      <c r="B35" s="29" t="s">
        <v>135</v>
      </c>
      <c r="C35" s="66" t="s">
        <v>237</v>
      </c>
      <c r="D35" s="55"/>
      <c r="E35" s="98"/>
      <c r="F35" s="68"/>
      <c r="G35" s="98"/>
      <c r="I35" s="61">
        <f>F35</f>
        <v>0</v>
      </c>
      <c r="J35" s="47">
        <f t="shared" si="2"/>
        <v>0</v>
      </c>
      <c r="K35" s="47">
        <f t="shared" si="2"/>
        <v>0</v>
      </c>
    </row>
    <row r="36" spans="1:11" ht="30.75" customHeight="1">
      <c r="A36" s="56" t="s">
        <v>92</v>
      </c>
      <c r="B36" s="63" t="s">
        <v>136</v>
      </c>
      <c r="C36" s="66"/>
      <c r="D36" s="55"/>
      <c r="E36" s="98" t="e">
        <f>E34</f>
        <v>#VALUE!</v>
      </c>
      <c r="F36" s="122">
        <f>ĐMNHANCONGTOANĐAC!E35</f>
        <v>0.013440000000000002</v>
      </c>
      <c r="G36" s="98" t="e">
        <f>E36*F36</f>
        <v>#VALUE!</v>
      </c>
      <c r="I36" s="61"/>
      <c r="J36" s="47"/>
      <c r="K36" s="47"/>
    </row>
    <row r="37" spans="1:11" s="238" customFormat="1" ht="30.75" customHeight="1">
      <c r="A37" s="241" t="s">
        <v>92</v>
      </c>
      <c r="B37" s="126" t="s">
        <v>137</v>
      </c>
      <c r="C37" s="242"/>
      <c r="D37" s="232"/>
      <c r="E37" s="236" t="e">
        <f>E36</f>
        <v>#VALUE!</v>
      </c>
      <c r="F37" s="243">
        <f>ĐMNHANCONGTOANĐAC!E36</f>
        <v>0.01608</v>
      </c>
      <c r="G37" s="236" t="e">
        <f>E37*F37</f>
        <v>#VALUE!</v>
      </c>
      <c r="I37" s="239"/>
      <c r="J37" s="240"/>
      <c r="K37" s="240"/>
    </row>
    <row r="38" spans="1:11" ht="39.75" customHeight="1">
      <c r="A38" s="108" t="s">
        <v>92</v>
      </c>
      <c r="B38" s="107" t="s">
        <v>138</v>
      </c>
      <c r="C38" s="120"/>
      <c r="D38" s="108"/>
      <c r="E38" s="102" t="e">
        <f>E37</f>
        <v>#VALUE!</v>
      </c>
      <c r="F38" s="244">
        <f>ĐMNHANCONGTOANĐAC!E37</f>
        <v>0.0168</v>
      </c>
      <c r="G38" s="102" t="e">
        <f>E38*F38</f>
        <v>#VALUE!</v>
      </c>
      <c r="J38" s="47"/>
      <c r="K38" s="47"/>
    </row>
    <row r="39" spans="1:13" ht="39.75" customHeight="1">
      <c r="A39" s="115">
        <v>9</v>
      </c>
      <c r="B39" s="116" t="s">
        <v>90</v>
      </c>
      <c r="C39" s="67" t="s">
        <v>234</v>
      </c>
      <c r="D39" s="117"/>
      <c r="E39" s="113"/>
      <c r="F39" s="118"/>
      <c r="G39" s="113"/>
      <c r="I39" s="65">
        <f>$F39*5</f>
        <v>0</v>
      </c>
      <c r="J39" s="47">
        <f>$F39*5</f>
        <v>0</v>
      </c>
      <c r="K39" s="47">
        <f>$F39*5</f>
        <v>0</v>
      </c>
      <c r="M39">
        <v>100</v>
      </c>
    </row>
    <row r="40" spans="1:11" ht="24.75" customHeight="1">
      <c r="A40" s="84" t="s">
        <v>92</v>
      </c>
      <c r="B40" s="76"/>
      <c r="C40" s="77"/>
      <c r="D40" s="55" t="s">
        <v>21</v>
      </c>
      <c r="E40" s="98" t="e">
        <f>(LUONGNGAY!K11+2*LUONGNGAY!K20+2*LUONGNGAY!K18)/5</f>
        <v>#VALUE!</v>
      </c>
      <c r="F40" s="68">
        <f>(ĐMNHANCONGTOANĐAC!E40)*5</f>
        <v>0.3125</v>
      </c>
      <c r="G40" s="98" t="e">
        <f>E40*F40*'He so chung'!D$14</f>
        <v>#VALUE!</v>
      </c>
      <c r="I40" s="61">
        <f aca="true" t="shared" si="3" ref="I40:I51">F40</f>
        <v>0.3125</v>
      </c>
      <c r="J40" s="47"/>
      <c r="K40" s="47"/>
    </row>
    <row r="41" spans="1:11" ht="24.75" customHeight="1">
      <c r="A41" s="84" t="s">
        <v>92</v>
      </c>
      <c r="B41" s="76"/>
      <c r="C41" s="77"/>
      <c r="D41" s="55" t="s">
        <v>19</v>
      </c>
      <c r="E41" s="98" t="e">
        <f>E40</f>
        <v>#VALUE!</v>
      </c>
      <c r="F41" s="68">
        <f>(ĐMNHANCONGTOANĐAC!E41)*5</f>
        <v>0.41666666666666663</v>
      </c>
      <c r="G41" s="98" t="e">
        <f>E41*F41*'He so chung'!D$14</f>
        <v>#VALUE!</v>
      </c>
      <c r="I41" s="61">
        <f t="shared" si="3"/>
        <v>0.41666666666666663</v>
      </c>
      <c r="J41" s="47"/>
      <c r="K41" s="47"/>
    </row>
    <row r="42" spans="1:11" ht="24.75" customHeight="1">
      <c r="A42" s="84" t="s">
        <v>92</v>
      </c>
      <c r="B42" s="76"/>
      <c r="C42" s="77"/>
      <c r="D42" s="55" t="s">
        <v>5</v>
      </c>
      <c r="E42" s="98" t="e">
        <f>E41</f>
        <v>#VALUE!</v>
      </c>
      <c r="F42" s="68">
        <f>(ĐMNHANCONGTOANĐAC!E42)*5</f>
        <v>0.5208333333333334</v>
      </c>
      <c r="G42" s="98" t="e">
        <f>E42*F42*'He so chung'!D$14</f>
        <v>#VALUE!</v>
      </c>
      <c r="I42" s="61">
        <f t="shared" si="3"/>
        <v>0.5208333333333334</v>
      </c>
      <c r="J42" s="47"/>
      <c r="K42" s="47"/>
    </row>
    <row r="43" spans="1:11" ht="24.75" customHeight="1">
      <c r="A43" s="84" t="s">
        <v>92</v>
      </c>
      <c r="B43" s="76"/>
      <c r="C43" s="77"/>
      <c r="D43" s="55" t="s">
        <v>16</v>
      </c>
      <c r="E43" s="98" t="e">
        <f>E42</f>
        <v>#VALUE!</v>
      </c>
      <c r="F43" s="68">
        <f>(ĐMNHANCONGTOANĐAC!E43)*5</f>
        <v>0.625</v>
      </c>
      <c r="G43" s="98" t="e">
        <f>E43*F43*'He so chung'!D$14</f>
        <v>#VALUE!</v>
      </c>
      <c r="I43" s="61">
        <f t="shared" si="3"/>
        <v>0.625</v>
      </c>
      <c r="J43" s="47"/>
      <c r="K43" s="47"/>
    </row>
    <row r="44" spans="1:11" ht="24.75" customHeight="1">
      <c r="A44" s="84" t="s">
        <v>92</v>
      </c>
      <c r="B44" s="76"/>
      <c r="C44" s="76"/>
      <c r="D44" s="55" t="s">
        <v>15</v>
      </c>
      <c r="E44" s="98" t="e">
        <f>E43</f>
        <v>#VALUE!</v>
      </c>
      <c r="F44" s="68">
        <f>(ĐMNHANCONGTOANĐAC!E44)*5</f>
        <v>0.8333333333333333</v>
      </c>
      <c r="G44" s="98" t="e">
        <f>E44*F44*'He so chung'!D$14</f>
        <v>#VALUE!</v>
      </c>
      <c r="I44" s="61">
        <f t="shared" si="3"/>
        <v>0.8333333333333333</v>
      </c>
      <c r="J44" s="47"/>
      <c r="K44" s="47"/>
    </row>
    <row r="45" spans="1:11" ht="24.75" customHeight="1">
      <c r="A45" s="86" t="s">
        <v>92</v>
      </c>
      <c r="B45" s="87"/>
      <c r="C45" s="87"/>
      <c r="D45" s="59" t="s">
        <v>14</v>
      </c>
      <c r="E45" s="98" t="e">
        <f>E44</f>
        <v>#VALUE!</v>
      </c>
      <c r="F45" s="68">
        <f>(ĐMNHANCONGTOANĐAC!E45)*5</f>
        <v>1.3541666666666665</v>
      </c>
      <c r="G45" s="98" t="e">
        <f>E45*F45*'He so chung'!D$14</f>
        <v>#VALUE!</v>
      </c>
      <c r="I45" s="61">
        <f t="shared" si="3"/>
        <v>1.3541666666666665</v>
      </c>
      <c r="J45" s="47"/>
      <c r="K45" s="47"/>
    </row>
    <row r="46" spans="1:11" ht="37.5" customHeight="1">
      <c r="A46" s="89">
        <v>10</v>
      </c>
      <c r="B46" s="64" t="s">
        <v>126</v>
      </c>
      <c r="C46" s="67" t="s">
        <v>234</v>
      </c>
      <c r="D46" s="59" t="s">
        <v>113</v>
      </c>
      <c r="E46" s="98" t="e">
        <f>E40</f>
        <v>#VALUE!</v>
      </c>
      <c r="F46" s="71">
        <f>ĐMNHANCONGTOANĐAC!E46*5</f>
        <v>0.1</v>
      </c>
      <c r="G46" s="98" t="e">
        <f>E46*F46*'He so chung'!D$14</f>
        <v>#VALUE!</v>
      </c>
      <c r="I46" s="61">
        <f t="shared" si="3"/>
        <v>0.1</v>
      </c>
      <c r="J46" s="47"/>
      <c r="K46" s="47"/>
    </row>
    <row r="47" spans="1:9" ht="24.75" customHeight="1">
      <c r="A47" s="28">
        <v>11</v>
      </c>
      <c r="B47" s="110" t="s">
        <v>123</v>
      </c>
      <c r="C47" s="66"/>
      <c r="D47" s="59"/>
      <c r="E47" s="98"/>
      <c r="F47" s="58">
        <f>SUM(F48:F51)</f>
        <v>0.12133333333333333</v>
      </c>
      <c r="G47" s="98" t="e">
        <f>SUM(G48:G51)</f>
        <v>#VALUE!</v>
      </c>
      <c r="I47" s="61">
        <f t="shared" si="3"/>
        <v>0.12133333333333333</v>
      </c>
    </row>
    <row r="48" spans="1:9" ht="24.75" customHeight="1">
      <c r="A48" s="57" t="s">
        <v>92</v>
      </c>
      <c r="B48" s="110" t="s">
        <v>143</v>
      </c>
      <c r="C48" s="66" t="s">
        <v>142</v>
      </c>
      <c r="D48" s="59" t="s">
        <v>113</v>
      </c>
      <c r="E48" s="98" t="e">
        <f>LUONGNGAY!K20</f>
        <v>#VALUE!</v>
      </c>
      <c r="F48" s="58">
        <f>ĐMNHANCONGTOANĐAC!E48</f>
        <v>0.02</v>
      </c>
      <c r="G48" s="98" t="e">
        <f>E48*F48</f>
        <v>#VALUE!</v>
      </c>
      <c r="I48" s="61">
        <f t="shared" si="3"/>
        <v>0.02</v>
      </c>
    </row>
    <row r="49" spans="1:9" ht="39.75" customHeight="1">
      <c r="A49" s="57" t="s">
        <v>92</v>
      </c>
      <c r="B49" s="63" t="s">
        <v>144</v>
      </c>
      <c r="C49" s="66" t="s">
        <v>124</v>
      </c>
      <c r="D49" s="59" t="s">
        <v>113</v>
      </c>
      <c r="E49" s="98" t="e">
        <f>E48</f>
        <v>#VALUE!</v>
      </c>
      <c r="F49" s="58">
        <f>ĐMNHANCONGTOANĐAC!E49</f>
        <v>0.068</v>
      </c>
      <c r="G49" s="98" t="e">
        <f>E49*F49</f>
        <v>#VALUE!</v>
      </c>
      <c r="I49" s="61">
        <f t="shared" si="3"/>
        <v>0.068</v>
      </c>
    </row>
    <row r="50" spans="1:9" ht="24.75" customHeight="1">
      <c r="A50" s="57" t="s">
        <v>92</v>
      </c>
      <c r="B50" s="110" t="s">
        <v>127</v>
      </c>
      <c r="C50" s="66" t="s">
        <v>124</v>
      </c>
      <c r="D50" s="59" t="s">
        <v>113</v>
      </c>
      <c r="E50" s="98" t="e">
        <f>E48</f>
        <v>#VALUE!</v>
      </c>
      <c r="F50" s="58">
        <f>ĐMNHANCONGTOANĐAC!E50</f>
        <v>0.016666666666666666</v>
      </c>
      <c r="G50" s="98" t="e">
        <f>E50*F50</f>
        <v>#VALUE!</v>
      </c>
      <c r="I50" s="61">
        <f t="shared" si="3"/>
        <v>0.016666666666666666</v>
      </c>
    </row>
    <row r="51" spans="1:9" ht="24.75" customHeight="1">
      <c r="A51" s="57" t="s">
        <v>92</v>
      </c>
      <c r="B51" s="88" t="s">
        <v>125</v>
      </c>
      <c r="C51" s="67" t="s">
        <v>132</v>
      </c>
      <c r="D51" s="59" t="s">
        <v>113</v>
      </c>
      <c r="E51" s="99" t="e">
        <f>LUONGNGAY!K18</f>
        <v>#VALUE!</v>
      </c>
      <c r="F51" s="58">
        <f>ĐMNHANCONGTOANĐAC!E51</f>
        <v>0.016666666666666666</v>
      </c>
      <c r="G51" s="98" t="e">
        <f>E51*F51</f>
        <v>#VALUE!</v>
      </c>
      <c r="I51" s="61">
        <f t="shared" si="3"/>
        <v>0.016666666666666666</v>
      </c>
    </row>
    <row r="52" spans="1:7" ht="9" customHeight="1">
      <c r="A52" s="91"/>
      <c r="B52" s="92"/>
      <c r="C52" s="93"/>
      <c r="D52" s="94"/>
      <c r="E52" s="101"/>
      <c r="F52" s="95"/>
      <c r="G52" s="101"/>
    </row>
    <row r="53" spans="1:11" ht="24.75" customHeight="1">
      <c r="A53" s="245"/>
      <c r="B53" s="96" t="s">
        <v>141</v>
      </c>
      <c r="C53" s="246"/>
      <c r="D53" s="247" t="s">
        <v>21</v>
      </c>
      <c r="E53" s="256"/>
      <c r="F53" s="248">
        <f aca="true" t="shared" si="4" ref="F53:F58">$F$5+$F$6+$F$7+F9+F17+F24+$F$32+$F$37+F40+$F$46+$F$47</f>
        <v>1.4833366666666667</v>
      </c>
      <c r="G53" s="256" t="e">
        <f aca="true" t="shared" si="5" ref="G53:G58">$G$5+$G$6+$G$7+G9+G17+G24+$G$32+$G$37+G40+$G$46+$G$47</f>
        <v>#VALUE!</v>
      </c>
      <c r="I53" s="123">
        <v>469788</v>
      </c>
      <c r="K53" s="65" t="e">
        <f aca="true" t="shared" si="6" ref="K53:K58">G53/I53*100</f>
        <v>#VALUE!</v>
      </c>
    </row>
    <row r="54" spans="1:13" ht="24.75" customHeight="1">
      <c r="A54" s="226"/>
      <c r="B54" s="75"/>
      <c r="C54" s="250"/>
      <c r="D54" s="225" t="s">
        <v>19</v>
      </c>
      <c r="E54" s="249"/>
      <c r="F54" s="251">
        <f t="shared" si="4"/>
        <v>1.9382414285714287</v>
      </c>
      <c r="G54" s="249" t="e">
        <f t="shared" si="5"/>
        <v>#VALUE!</v>
      </c>
      <c r="I54" s="124">
        <v>630195</v>
      </c>
      <c r="K54" s="65" t="e">
        <f t="shared" si="6"/>
        <v>#VALUE!</v>
      </c>
      <c r="M54">
        <v>10</v>
      </c>
    </row>
    <row r="55" spans="1:11" ht="24.75" customHeight="1">
      <c r="A55" s="226"/>
      <c r="B55" s="75"/>
      <c r="C55" s="250"/>
      <c r="D55" s="225" t="s">
        <v>5</v>
      </c>
      <c r="E55" s="249"/>
      <c r="F55" s="251">
        <f t="shared" si="4"/>
        <v>2.4012700000000002</v>
      </c>
      <c r="G55" s="249" t="e">
        <f t="shared" si="5"/>
        <v>#VALUE!</v>
      </c>
      <c r="I55" s="124">
        <v>795423</v>
      </c>
      <c r="K55" s="65" t="e">
        <f t="shared" si="6"/>
        <v>#VALUE!</v>
      </c>
    </row>
    <row r="56" spans="1:13" ht="24.75" customHeight="1">
      <c r="A56" s="226"/>
      <c r="B56" s="75"/>
      <c r="C56" s="250"/>
      <c r="D56" s="225" t="s">
        <v>16</v>
      </c>
      <c r="E56" s="249"/>
      <c r="F56" s="251">
        <f t="shared" si="4"/>
        <v>2.90119</v>
      </c>
      <c r="G56" s="249" t="e">
        <f t="shared" si="5"/>
        <v>#VALUE!</v>
      </c>
      <c r="I56" s="124">
        <v>964927</v>
      </c>
      <c r="K56" s="65" t="e">
        <f t="shared" si="6"/>
        <v>#VALUE!</v>
      </c>
      <c r="M56">
        <v>17</v>
      </c>
    </row>
    <row r="57" spans="1:13" ht="24.75" customHeight="1">
      <c r="A57" s="226"/>
      <c r="B57" s="75"/>
      <c r="C57" s="250"/>
      <c r="D57" s="225" t="s">
        <v>15</v>
      </c>
      <c r="E57" s="249"/>
      <c r="F57" s="251">
        <f t="shared" si="4"/>
        <v>3.5893366666666666</v>
      </c>
      <c r="G57" s="249" t="e">
        <f t="shared" si="5"/>
        <v>#VALUE!</v>
      </c>
      <c r="I57" s="124">
        <v>1171761</v>
      </c>
      <c r="K57" s="65" t="e">
        <f t="shared" si="6"/>
        <v>#VALUE!</v>
      </c>
      <c r="M57">
        <v>22</v>
      </c>
    </row>
    <row r="58" spans="1:13" ht="24.75" customHeight="1">
      <c r="A58" s="252"/>
      <c r="B58" s="119"/>
      <c r="C58" s="253"/>
      <c r="D58" s="254" t="s">
        <v>14</v>
      </c>
      <c r="E58" s="255"/>
      <c r="F58" s="271">
        <f t="shared" si="4"/>
        <v>4.435836666666666</v>
      </c>
      <c r="G58" s="255" t="e">
        <f t="shared" si="5"/>
        <v>#VALUE!</v>
      </c>
      <c r="I58" s="125">
        <v>1393159</v>
      </c>
      <c r="K58" s="65" t="e">
        <f t="shared" si="6"/>
        <v>#VALUE!</v>
      </c>
      <c r="M58">
        <v>21</v>
      </c>
    </row>
    <row r="59" spans="1:7" ht="13.5" customHeight="1">
      <c r="A59" s="268"/>
      <c r="B59" s="269"/>
      <c r="C59" s="269"/>
      <c r="D59" s="269"/>
      <c r="E59" s="270"/>
      <c r="F59" s="269"/>
      <c r="G59" s="270"/>
    </row>
    <row r="60" spans="1:7" ht="19.5" customHeight="1">
      <c r="A60" s="97"/>
      <c r="B60" s="90"/>
      <c r="C60" s="90"/>
      <c r="D60" s="90"/>
      <c r="E60" s="90"/>
      <c r="F60" s="90"/>
      <c r="G60" s="90"/>
    </row>
    <row r="61" spans="1:7" ht="19.5" customHeight="1">
      <c r="A61" s="97"/>
      <c r="B61" s="90"/>
      <c r="C61" s="90"/>
      <c r="D61" s="90"/>
      <c r="E61" s="90"/>
      <c r="F61" s="90"/>
      <c r="G61" s="90"/>
    </row>
    <row r="62" spans="1:7" ht="19.5" customHeight="1">
      <c r="A62" s="97"/>
      <c r="B62" s="90"/>
      <c r="C62" s="90"/>
      <c r="D62" s="90"/>
      <c r="E62" s="90"/>
      <c r="F62" s="90"/>
      <c r="G62" s="90"/>
    </row>
    <row r="63" spans="1:7" ht="19.5" customHeight="1">
      <c r="A63" s="97"/>
      <c r="B63" s="90"/>
      <c r="C63" s="90"/>
      <c r="D63" s="90"/>
      <c r="E63" s="90"/>
      <c r="F63" s="90"/>
      <c r="G63" s="90"/>
    </row>
    <row r="64" spans="1:7" ht="19.5" customHeight="1">
      <c r="A64" s="97"/>
      <c r="B64" s="90"/>
      <c r="C64" s="90"/>
      <c r="D64" s="90"/>
      <c r="E64" s="90"/>
      <c r="F64" s="90"/>
      <c r="G64" s="90"/>
    </row>
    <row r="65" spans="1:15" ht="19.5" customHeight="1">
      <c r="A65" s="49"/>
      <c r="B65" s="30"/>
      <c r="C65" s="30"/>
      <c r="D65" s="30"/>
      <c r="E65" s="30"/>
      <c r="F65" s="30"/>
      <c r="G65" s="30"/>
      <c r="I65" s="65">
        <f aca="true" t="shared" si="7" ref="I65:I70">($I$5+$I$6+$I$7+I9+I17+I24+$I$32+$I$35+I40+$I$46+$I$47)</f>
        <v>1.4672566666666667</v>
      </c>
      <c r="K65">
        <f>0.58+1.48</f>
        <v>2.06</v>
      </c>
      <c r="M65" s="47">
        <f aca="true" t="shared" si="8" ref="M65:M70">I65/K65*100</f>
        <v>71.22605177993528</v>
      </c>
      <c r="O65">
        <f>I65*1.25</f>
        <v>1.8340708333333333</v>
      </c>
    </row>
    <row r="66" spans="1:13" ht="19.5" customHeight="1">
      <c r="A66" s="49"/>
      <c r="B66" s="30"/>
      <c r="C66" s="30"/>
      <c r="D66" s="30"/>
      <c r="E66" s="30"/>
      <c r="F66" s="30"/>
      <c r="G66" s="30"/>
      <c r="H66" s="65">
        <f>I66-I65</f>
        <v>0.4549047619047619</v>
      </c>
      <c r="I66" s="65">
        <f t="shared" si="7"/>
        <v>1.9221614285714286</v>
      </c>
      <c r="J66" s="85">
        <f>K66-K65</f>
        <v>0.6999999999999997</v>
      </c>
      <c r="K66">
        <f>0.79+1.97</f>
        <v>2.76</v>
      </c>
      <c r="M66" s="47">
        <f t="shared" si="8"/>
        <v>69.64353002070393</v>
      </c>
    </row>
    <row r="67" spans="1:13" ht="19.5" customHeight="1">
      <c r="A67" s="49"/>
      <c r="B67" s="30"/>
      <c r="C67" s="30"/>
      <c r="D67" s="30"/>
      <c r="E67" s="30"/>
      <c r="F67" s="30"/>
      <c r="G67" s="30"/>
      <c r="H67" s="65">
        <f>I67-I66</f>
        <v>0.46302857142857157</v>
      </c>
      <c r="I67" s="65">
        <f t="shared" si="7"/>
        <v>2.38519</v>
      </c>
      <c r="J67" s="85">
        <f>K67-K66</f>
        <v>0.7200000000000006</v>
      </c>
      <c r="K67">
        <f>1.01+2.47</f>
        <v>3.4800000000000004</v>
      </c>
      <c r="M67" s="47">
        <f t="shared" si="8"/>
        <v>68.53994252873564</v>
      </c>
    </row>
    <row r="68" spans="1:13" ht="19.5" customHeight="1">
      <c r="A68" s="49"/>
      <c r="B68" s="30"/>
      <c r="C68" s="30"/>
      <c r="D68" s="30"/>
      <c r="E68" s="30"/>
      <c r="F68" s="30"/>
      <c r="G68" s="30"/>
      <c r="H68" s="65">
        <f>I68-I67</f>
        <v>0.4999199999999999</v>
      </c>
      <c r="I68" s="65">
        <f t="shared" si="7"/>
        <v>2.88511</v>
      </c>
      <c r="J68" s="85">
        <f>K68-K67</f>
        <v>0.7599999999999998</v>
      </c>
      <c r="K68">
        <f>1.16+3.08</f>
        <v>4.24</v>
      </c>
      <c r="M68" s="47">
        <f t="shared" si="8"/>
        <v>68.04504716981133</v>
      </c>
    </row>
    <row r="69" spans="1:13" ht="19.5" customHeight="1">
      <c r="A69" s="49"/>
      <c r="B69" s="30"/>
      <c r="C69" s="30"/>
      <c r="D69" s="30"/>
      <c r="E69" s="30"/>
      <c r="F69" s="30"/>
      <c r="G69" s="30"/>
      <c r="H69" s="65">
        <f>I69-I68</f>
        <v>0.688146666666666</v>
      </c>
      <c r="I69" s="65">
        <f t="shared" si="7"/>
        <v>3.573256666666666</v>
      </c>
      <c r="J69" s="85">
        <f>K69-K68</f>
        <v>0.9000000000000004</v>
      </c>
      <c r="K69">
        <f>1.44+3.7</f>
        <v>5.140000000000001</v>
      </c>
      <c r="M69" s="47">
        <f t="shared" si="8"/>
        <v>69.51861219195847</v>
      </c>
    </row>
    <row r="70" spans="1:13" ht="19.5" customHeight="1">
      <c r="A70" s="49"/>
      <c r="B70" s="30"/>
      <c r="C70" s="30"/>
      <c r="D70" s="30"/>
      <c r="E70" s="30"/>
      <c r="F70" s="30"/>
      <c r="G70" s="30"/>
      <c r="H70" s="65">
        <f>I70-I69</f>
        <v>0.8465000000000003</v>
      </c>
      <c r="I70" s="65">
        <f t="shared" si="7"/>
        <v>4.419756666666666</v>
      </c>
      <c r="J70" s="85">
        <f>K70-K69</f>
        <v>1</v>
      </c>
      <c r="K70">
        <f>1.61+4.53</f>
        <v>6.140000000000001</v>
      </c>
      <c r="M70" s="47">
        <f t="shared" si="8"/>
        <v>71.9830076004343</v>
      </c>
    </row>
    <row r="71" spans="1:7" ht="19.5" customHeight="1">
      <c r="A71" s="49"/>
      <c r="B71" s="30"/>
      <c r="C71" s="30"/>
      <c r="D71" s="30"/>
      <c r="E71" s="30"/>
      <c r="F71" s="30"/>
      <c r="G71" s="30"/>
    </row>
    <row r="72" spans="1:7" ht="19.5" customHeight="1">
      <c r="A72" s="49"/>
      <c r="B72" s="30"/>
      <c r="C72" s="30"/>
      <c r="D72" s="30"/>
      <c r="E72" s="30"/>
      <c r="F72" s="30"/>
      <c r="G72" s="30"/>
    </row>
    <row r="73" spans="1:7" ht="19.5" customHeight="1">
      <c r="A73" s="49"/>
      <c r="B73" s="30"/>
      <c r="C73" s="30"/>
      <c r="D73" s="30"/>
      <c r="E73" s="30"/>
      <c r="F73" s="30"/>
      <c r="G73" s="30"/>
    </row>
    <row r="74" spans="1:7" ht="16.5">
      <c r="A74" s="49"/>
      <c r="B74" s="30"/>
      <c r="C74" s="30"/>
      <c r="D74" s="30"/>
      <c r="E74" s="30"/>
      <c r="F74" s="30"/>
      <c r="G74" s="30"/>
    </row>
  </sheetData>
  <sheetProtection/>
  <mergeCells count="9">
    <mergeCell ref="F1:G1"/>
    <mergeCell ref="A2:G2"/>
    <mergeCell ref="A3:A4"/>
    <mergeCell ref="B3:B4"/>
    <mergeCell ref="C3:C4"/>
    <mergeCell ref="D3:D4"/>
    <mergeCell ref="F3:F4"/>
    <mergeCell ref="G3:G4"/>
    <mergeCell ref="E3:E4"/>
  </mergeCells>
  <printOptions horizontalCentered="1"/>
  <pageMargins left="0.984251968503937" right="0.5905511811023623" top="0.5905511811023623" bottom="0.5905511811023623" header="0.3937007874015748" footer="0.3937007874015748"/>
  <pageSetup firstPageNumber="18" useFirstPageNumber="1" horizontalDpi="600" verticalDpi="600" orientation="landscape" paperSize="9" scale="90" r:id="rId1"/>
  <headerFooter alignWithMargins="0">
    <oddFooter>&amp;CTrang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5"/>
  <sheetViews>
    <sheetView zoomScalePageLayoutView="0" workbookViewId="0" topLeftCell="A1">
      <selection activeCell="H28" sqref="H28"/>
    </sheetView>
  </sheetViews>
  <sheetFormatPr defaultColWidth="8.72265625" defaultRowHeight="16.5"/>
  <cols>
    <col min="1" max="1" width="4.453125" style="127" customWidth="1"/>
    <col min="2" max="2" width="17.0859375" style="3" customWidth="1"/>
    <col min="3" max="3" width="6.8125" style="3" customWidth="1"/>
    <col min="4" max="4" width="8.90625" style="3" customWidth="1"/>
    <col min="5" max="5" width="8.99609375" style="3" customWidth="1"/>
    <col min="6" max="6" width="9.0859375" style="3" customWidth="1"/>
    <col min="7" max="7" width="9.453125" style="3" customWidth="1"/>
    <col min="8" max="8" width="9.54296875" style="3" customWidth="1"/>
    <col min="9" max="10" width="8.90625" style="3" customWidth="1"/>
    <col min="11" max="13" width="9.0859375" style="3" customWidth="1"/>
    <col min="14" max="14" width="8.18359375" style="3" customWidth="1"/>
    <col min="15" max="15" width="8.36328125" style="3" customWidth="1"/>
    <col min="16" max="16" width="8.54296875" style="3" customWidth="1"/>
    <col min="17" max="16384" width="8.90625" style="3" customWidth="1"/>
  </cols>
  <sheetData>
    <row r="1" spans="12:16" ht="20.25" customHeight="1">
      <c r="L1" s="128"/>
      <c r="O1" s="555" t="s">
        <v>214</v>
      </c>
      <c r="P1" s="555"/>
    </row>
    <row r="2" spans="1:16" ht="21" customHeight="1">
      <c r="A2" s="556" t="s">
        <v>163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</row>
    <row r="3" spans="1:8" ht="21" customHeight="1">
      <c r="A3" s="145"/>
      <c r="B3" s="146"/>
      <c r="C3" s="147"/>
      <c r="D3" s="147"/>
      <c r="E3" s="147"/>
      <c r="F3" s="147"/>
      <c r="G3" s="147"/>
      <c r="H3" s="147"/>
    </row>
    <row r="4" spans="1:16" ht="16.5" customHeight="1">
      <c r="A4" s="557" t="s">
        <v>147</v>
      </c>
      <c r="B4" s="558" t="s">
        <v>148</v>
      </c>
      <c r="C4" s="558" t="s">
        <v>3</v>
      </c>
      <c r="D4" s="559" t="s">
        <v>164</v>
      </c>
      <c r="E4" s="562" t="s">
        <v>165</v>
      </c>
      <c r="F4" s="552" t="s">
        <v>166</v>
      </c>
      <c r="G4" s="551" t="s">
        <v>120</v>
      </c>
      <c r="H4" s="552"/>
      <c r="I4" s="551" t="s">
        <v>121</v>
      </c>
      <c r="J4" s="552"/>
      <c r="K4" s="551" t="s">
        <v>167</v>
      </c>
      <c r="L4" s="552"/>
      <c r="M4" s="551" t="s">
        <v>135</v>
      </c>
      <c r="N4" s="552"/>
      <c r="O4" s="551" t="s">
        <v>90</v>
      </c>
      <c r="P4" s="552"/>
    </row>
    <row r="5" spans="1:16" ht="27" customHeight="1">
      <c r="A5" s="557"/>
      <c r="B5" s="558"/>
      <c r="C5" s="558"/>
      <c r="D5" s="560"/>
      <c r="E5" s="563"/>
      <c r="F5" s="565"/>
      <c r="G5" s="553"/>
      <c r="H5" s="554"/>
      <c r="I5" s="553"/>
      <c r="J5" s="554"/>
      <c r="K5" s="553"/>
      <c r="L5" s="554"/>
      <c r="M5" s="553"/>
      <c r="N5" s="554"/>
      <c r="O5" s="553"/>
      <c r="P5" s="554"/>
    </row>
    <row r="6" spans="1:16" ht="60" customHeight="1">
      <c r="A6" s="557"/>
      <c r="B6" s="558"/>
      <c r="C6" s="558"/>
      <c r="D6" s="561"/>
      <c r="E6" s="564"/>
      <c r="F6" s="554"/>
      <c r="G6" s="129" t="s">
        <v>170</v>
      </c>
      <c r="H6" s="129" t="s">
        <v>169</v>
      </c>
      <c r="I6" s="129" t="s">
        <v>170</v>
      </c>
      <c r="J6" s="129" t="s">
        <v>169</v>
      </c>
      <c r="K6" s="163" t="s">
        <v>168</v>
      </c>
      <c r="L6" s="129" t="s">
        <v>169</v>
      </c>
      <c r="M6" s="163" t="s">
        <v>168</v>
      </c>
      <c r="N6" s="129" t="s">
        <v>169</v>
      </c>
      <c r="O6" s="163" t="s">
        <v>168</v>
      </c>
      <c r="P6" s="129" t="s">
        <v>169</v>
      </c>
    </row>
    <row r="7" spans="1:16" ht="24.75" customHeight="1">
      <c r="A7" s="164">
        <v>1</v>
      </c>
      <c r="B7" s="165" t="s">
        <v>171</v>
      </c>
      <c r="C7" s="153" t="s">
        <v>156</v>
      </c>
      <c r="D7" s="166">
        <v>12</v>
      </c>
      <c r="E7" s="272">
        <v>80000</v>
      </c>
      <c r="F7" s="273">
        <f aca="true" t="shared" si="0" ref="F7:F15">E7/(D7*26)</f>
        <v>256.4102564102564</v>
      </c>
      <c r="G7" s="273"/>
      <c r="H7" s="273"/>
      <c r="I7" s="157"/>
      <c r="J7" s="157"/>
      <c r="K7" s="274">
        <f>'[2]DUNGCU'!E8</f>
        <v>0.07</v>
      </c>
      <c r="L7" s="273">
        <f>F7*K7</f>
        <v>17.94871794871795</v>
      </c>
      <c r="M7" s="274">
        <v>0.05</v>
      </c>
      <c r="N7" s="273">
        <f>F7*M7</f>
        <v>12.820512820512821</v>
      </c>
      <c r="O7" s="274"/>
      <c r="P7" s="273"/>
    </row>
    <row r="8" spans="1:16" ht="24.75" customHeight="1">
      <c r="A8" s="164">
        <v>2</v>
      </c>
      <c r="B8" s="152" t="s">
        <v>172</v>
      </c>
      <c r="C8" s="153" t="s">
        <v>156</v>
      </c>
      <c r="D8" s="166">
        <v>12</v>
      </c>
      <c r="E8" s="272">
        <v>60000</v>
      </c>
      <c r="F8" s="273">
        <f t="shared" si="0"/>
        <v>192.30769230769232</v>
      </c>
      <c r="G8" s="273"/>
      <c r="H8" s="273"/>
      <c r="I8" s="157"/>
      <c r="J8" s="157"/>
      <c r="K8" s="274">
        <f>'[2]DUNGCU'!E9</f>
        <v>0.07</v>
      </c>
      <c r="L8" s="273">
        <f>F8*K8</f>
        <v>13.461538461538463</v>
      </c>
      <c r="M8" s="274">
        <v>0.05</v>
      </c>
      <c r="N8" s="273">
        <f>F8*M8</f>
        <v>9.615384615384617</v>
      </c>
      <c r="O8" s="274"/>
      <c r="P8" s="273"/>
    </row>
    <row r="9" spans="1:16" ht="24.75" customHeight="1">
      <c r="A9" s="164">
        <v>3</v>
      </c>
      <c r="B9" s="150" t="s">
        <v>173</v>
      </c>
      <c r="C9" s="153" t="s">
        <v>156</v>
      </c>
      <c r="D9" s="166">
        <v>12</v>
      </c>
      <c r="E9" s="272">
        <v>140000</v>
      </c>
      <c r="F9" s="273">
        <f t="shared" si="0"/>
        <v>448.71794871794873</v>
      </c>
      <c r="G9" s="273"/>
      <c r="H9" s="273"/>
      <c r="I9" s="157"/>
      <c r="J9" s="157"/>
      <c r="K9" s="274">
        <f>'[2]DUNGCU'!E10</f>
        <v>0.07</v>
      </c>
      <c r="L9" s="273">
        <f>F9*K9</f>
        <v>31.410256410256412</v>
      </c>
      <c r="M9" s="274">
        <v>0.05</v>
      </c>
      <c r="N9" s="273">
        <f>F9*M9</f>
        <v>22.435897435897438</v>
      </c>
      <c r="O9" s="274"/>
      <c r="P9" s="273"/>
    </row>
    <row r="10" spans="1:16" ht="24.75" customHeight="1">
      <c r="A10" s="164">
        <v>4</v>
      </c>
      <c r="B10" s="165" t="s">
        <v>174</v>
      </c>
      <c r="C10" s="153" t="s">
        <v>156</v>
      </c>
      <c r="D10" s="166">
        <v>12</v>
      </c>
      <c r="E10" s="272">
        <v>50000</v>
      </c>
      <c r="F10" s="273">
        <f t="shared" si="0"/>
        <v>160.25641025641025</v>
      </c>
      <c r="G10" s="273"/>
      <c r="H10" s="273"/>
      <c r="I10" s="204">
        <v>0.07</v>
      </c>
      <c r="J10" s="176">
        <f aca="true" t="shared" si="1" ref="J10:J15">F10*I10</f>
        <v>11.217948717948719</v>
      </c>
      <c r="K10" s="274">
        <f>'[2]DUNGCU'!E11</f>
        <v>0.07</v>
      </c>
      <c r="L10" s="273">
        <f>F10*K10</f>
        <v>11.217948717948719</v>
      </c>
      <c r="M10" s="274">
        <v>0.05</v>
      </c>
      <c r="N10" s="273">
        <f>F10*M10</f>
        <v>8.012820512820513</v>
      </c>
      <c r="O10" s="274"/>
      <c r="P10" s="273"/>
    </row>
    <row r="11" spans="1:16" ht="24.75" customHeight="1">
      <c r="A11" s="164">
        <v>5</v>
      </c>
      <c r="B11" s="165" t="s">
        <v>180</v>
      </c>
      <c r="C11" s="153" t="s">
        <v>182</v>
      </c>
      <c r="D11" s="166">
        <v>12</v>
      </c>
      <c r="E11" s="272">
        <v>85000</v>
      </c>
      <c r="F11" s="176">
        <f t="shared" si="0"/>
        <v>272.43589743589746</v>
      </c>
      <c r="G11" s="204">
        <f>9.8/30</f>
        <v>0.3266666666666667</v>
      </c>
      <c r="H11" s="176">
        <f>F11*G11</f>
        <v>88.99572649572652</v>
      </c>
      <c r="I11" s="204">
        <f>9.8/30*2</f>
        <v>0.6533333333333334</v>
      </c>
      <c r="J11" s="176">
        <f t="shared" si="1"/>
        <v>177.99145299145303</v>
      </c>
      <c r="K11" s="157"/>
      <c r="L11" s="176"/>
      <c r="M11" s="157"/>
      <c r="N11" s="176"/>
      <c r="O11" s="204">
        <f>I11/3</f>
        <v>0.21777777777777782</v>
      </c>
      <c r="P11" s="176">
        <f>F11*O11</f>
        <v>59.330484330484346</v>
      </c>
    </row>
    <row r="12" spans="1:16" ht="24.75" customHeight="1">
      <c r="A12" s="164">
        <v>6</v>
      </c>
      <c r="B12" s="165" t="s">
        <v>181</v>
      </c>
      <c r="C12" s="153" t="s">
        <v>156</v>
      </c>
      <c r="D12" s="166">
        <v>12</v>
      </c>
      <c r="E12" s="272">
        <v>40000</v>
      </c>
      <c r="F12" s="176">
        <f t="shared" si="0"/>
        <v>128.2051282051282</v>
      </c>
      <c r="G12" s="204">
        <f>G11</f>
        <v>0.3266666666666667</v>
      </c>
      <c r="H12" s="176">
        <f>F12*G12</f>
        <v>41.88034188034189</v>
      </c>
      <c r="I12" s="204">
        <f>9.8/30*2</f>
        <v>0.6533333333333334</v>
      </c>
      <c r="J12" s="176">
        <f t="shared" si="1"/>
        <v>83.76068376068378</v>
      </c>
      <c r="K12" s="157"/>
      <c r="L12" s="176"/>
      <c r="M12" s="157"/>
      <c r="N12" s="176"/>
      <c r="O12" s="204">
        <f>I12/3</f>
        <v>0.21777777777777782</v>
      </c>
      <c r="P12" s="176">
        <f>F12*O12</f>
        <v>27.920227920227926</v>
      </c>
    </row>
    <row r="13" spans="1:16" ht="24.75" customHeight="1">
      <c r="A13" s="164">
        <v>7</v>
      </c>
      <c r="B13" s="157" t="s">
        <v>183</v>
      </c>
      <c r="C13" s="156" t="s">
        <v>156</v>
      </c>
      <c r="D13" s="175">
        <v>12</v>
      </c>
      <c r="E13" s="272">
        <v>30000</v>
      </c>
      <c r="F13" s="176">
        <f t="shared" si="0"/>
        <v>96.15384615384616</v>
      </c>
      <c r="G13" s="204">
        <f>1.96/30</f>
        <v>0.06533333333333333</v>
      </c>
      <c r="H13" s="176">
        <f>F13*G13</f>
        <v>6.282051282051282</v>
      </c>
      <c r="I13" s="204">
        <f>1.96/30*2</f>
        <v>0.13066666666666665</v>
      </c>
      <c r="J13" s="176">
        <f t="shared" si="1"/>
        <v>12.564102564102564</v>
      </c>
      <c r="K13" s="157"/>
      <c r="L13" s="157"/>
      <c r="M13" s="157"/>
      <c r="N13" s="157"/>
      <c r="O13" s="204">
        <f>I13/3</f>
        <v>0.04355555555555555</v>
      </c>
      <c r="P13" s="176">
        <f>F13*O13</f>
        <v>4.188034188034187</v>
      </c>
    </row>
    <row r="14" spans="1:16" ht="24.75" customHeight="1">
      <c r="A14" s="174">
        <v>8</v>
      </c>
      <c r="B14" s="160" t="s">
        <v>184</v>
      </c>
      <c r="C14" s="159" t="s">
        <v>156</v>
      </c>
      <c r="D14" s="168">
        <v>6</v>
      </c>
      <c r="E14" s="275">
        <v>20000</v>
      </c>
      <c r="F14" s="169">
        <f t="shared" si="0"/>
        <v>128.2051282051282</v>
      </c>
      <c r="G14" s="205">
        <v>0.03</v>
      </c>
      <c r="H14" s="176">
        <f>F14*G14</f>
        <v>3.846153846153846</v>
      </c>
      <c r="I14" s="160">
        <f>0.03*2</f>
        <v>0.06</v>
      </c>
      <c r="J14" s="176">
        <f t="shared" si="1"/>
        <v>7.692307692307692</v>
      </c>
      <c r="K14" s="160"/>
      <c r="L14" s="160"/>
      <c r="M14" s="160"/>
      <c r="N14" s="160"/>
      <c r="O14" s="204">
        <f>I14/3</f>
        <v>0.02</v>
      </c>
      <c r="P14" s="176">
        <f>F14*O14</f>
        <v>2.5641025641025643</v>
      </c>
    </row>
    <row r="15" spans="1:16" ht="24.75" customHeight="1">
      <c r="A15" s="164">
        <v>9</v>
      </c>
      <c r="B15" s="178" t="s">
        <v>185</v>
      </c>
      <c r="C15" s="177" t="s">
        <v>186</v>
      </c>
      <c r="D15" s="178">
        <v>24</v>
      </c>
      <c r="E15" s="276">
        <v>60000</v>
      </c>
      <c r="F15" s="169">
        <f t="shared" si="0"/>
        <v>96.15384615384616</v>
      </c>
      <c r="G15" s="205">
        <f>1.96/30</f>
        <v>0.06533333333333333</v>
      </c>
      <c r="H15" s="176">
        <f>F15*G15</f>
        <v>6.282051282051282</v>
      </c>
      <c r="I15" s="204">
        <f>1.96/30*2</f>
        <v>0.13066666666666665</v>
      </c>
      <c r="J15" s="176">
        <f t="shared" si="1"/>
        <v>12.564102564102564</v>
      </c>
      <c r="K15" s="207"/>
      <c r="L15" s="178"/>
      <c r="M15" s="207"/>
      <c r="N15" s="178"/>
      <c r="O15" s="204">
        <f>I15/3</f>
        <v>0.04355555555555555</v>
      </c>
      <c r="P15" s="176">
        <f>F15*O15</f>
        <v>4.188034188034187</v>
      </c>
    </row>
    <row r="16" spans="1:16" ht="24.75" customHeight="1">
      <c r="A16" s="141"/>
      <c r="B16" s="142" t="s">
        <v>93</v>
      </c>
      <c r="C16" s="141"/>
      <c r="D16" s="170"/>
      <c r="E16" s="143"/>
      <c r="F16" s="143"/>
      <c r="G16" s="143"/>
      <c r="H16" s="277">
        <f>SUM(H7:H15)</f>
        <v>147.2863247863248</v>
      </c>
      <c r="I16" s="278"/>
      <c r="J16" s="277">
        <f>SUM(J7:J15)</f>
        <v>305.7905982905983</v>
      </c>
      <c r="K16" s="277"/>
      <c r="L16" s="277">
        <f>SUM(L7:L15)</f>
        <v>74.03846153846155</v>
      </c>
      <c r="M16" s="277"/>
      <c r="N16" s="277">
        <f>SUM(N7:N15)</f>
        <v>52.88461538461539</v>
      </c>
      <c r="O16" s="277"/>
      <c r="P16" s="277">
        <f>SUM(P7:P15)</f>
        <v>98.1908831908832</v>
      </c>
    </row>
    <row r="18" spans="2:9" ht="23.25" customHeight="1">
      <c r="B18" s="280" t="s">
        <v>189</v>
      </c>
      <c r="C18" s="281"/>
      <c r="D18" s="281"/>
      <c r="E18" s="281"/>
      <c r="F18" s="281"/>
      <c r="G18" s="281"/>
      <c r="H18" s="281"/>
      <c r="I18" s="279"/>
    </row>
    <row r="19" spans="2:9" ht="19.5" customHeight="1">
      <c r="B19" s="281" t="s">
        <v>190</v>
      </c>
      <c r="C19" s="282">
        <v>0.8</v>
      </c>
      <c r="D19" s="281"/>
      <c r="E19" s="281"/>
      <c r="F19" s="281"/>
      <c r="G19" s="281"/>
      <c r="H19" s="281"/>
      <c r="I19" s="279"/>
    </row>
    <row r="20" spans="2:9" ht="19.5" customHeight="1">
      <c r="B20" s="281" t="s">
        <v>191</v>
      </c>
      <c r="C20" s="282">
        <v>0.9</v>
      </c>
      <c r="D20" s="281"/>
      <c r="E20" s="281"/>
      <c r="F20" s="281"/>
      <c r="G20" s="281"/>
      <c r="H20" s="281"/>
      <c r="I20" s="279"/>
    </row>
    <row r="21" spans="2:9" ht="19.5" customHeight="1">
      <c r="B21" s="281" t="s">
        <v>192</v>
      </c>
      <c r="C21" s="282">
        <v>1</v>
      </c>
      <c r="D21" s="281"/>
      <c r="E21" s="281"/>
      <c r="F21" s="281"/>
      <c r="G21" s="281"/>
      <c r="H21" s="281"/>
      <c r="I21" s="279"/>
    </row>
    <row r="22" spans="2:9" ht="19.5" customHeight="1">
      <c r="B22" s="281" t="s">
        <v>193</v>
      </c>
      <c r="C22" s="282">
        <v>1.15</v>
      </c>
      <c r="D22" s="281"/>
      <c r="E22" s="281"/>
      <c r="F22" s="281"/>
      <c r="G22" s="281"/>
      <c r="H22" s="281"/>
      <c r="I22" s="279"/>
    </row>
    <row r="23" spans="2:9" ht="19.5" customHeight="1">
      <c r="B23" s="281" t="s">
        <v>194</v>
      </c>
      <c r="C23" s="282">
        <v>1.2</v>
      </c>
      <c r="D23" s="281"/>
      <c r="E23" s="281"/>
      <c r="F23" s="281"/>
      <c r="G23" s="281"/>
      <c r="H23" s="281"/>
      <c r="I23" s="279"/>
    </row>
    <row r="24" spans="2:9" ht="19.5" customHeight="1">
      <c r="B24" s="281" t="s">
        <v>195</v>
      </c>
      <c r="C24" s="282">
        <v>1.25</v>
      </c>
      <c r="D24" s="281"/>
      <c r="E24" s="281"/>
      <c r="F24" s="281"/>
      <c r="G24" s="281"/>
      <c r="H24" s="281"/>
      <c r="I24" s="279"/>
    </row>
    <row r="25" spans="2:8" ht="18">
      <c r="B25" s="283"/>
      <c r="C25" s="283"/>
      <c r="D25" s="283"/>
      <c r="E25" s="283"/>
      <c r="F25" s="283"/>
      <c r="G25" s="283"/>
      <c r="H25" s="283"/>
    </row>
  </sheetData>
  <sheetProtection/>
  <mergeCells count="13">
    <mergeCell ref="F4:F6"/>
    <mergeCell ref="K4:L5"/>
    <mergeCell ref="G4:H5"/>
    <mergeCell ref="M4:N5"/>
    <mergeCell ref="O4:P5"/>
    <mergeCell ref="I4:J5"/>
    <mergeCell ref="O1:P1"/>
    <mergeCell ref="A2:P2"/>
    <mergeCell ref="A4:A6"/>
    <mergeCell ref="B4:B6"/>
    <mergeCell ref="C4:C6"/>
    <mergeCell ref="D4:D6"/>
    <mergeCell ref="E4:E6"/>
  </mergeCells>
  <printOptions/>
  <pageMargins left="0.9055118110236221" right="0.6299212598425197" top="0.7480314960629921" bottom="0.7480314960629921" header="0.31496062992125984" footer="0.31496062992125984"/>
  <pageSetup firstPageNumber="20" useFirstPageNumber="1" horizontalDpi="600" verticalDpi="600" orientation="landscape" paperSize="9" scale="70" r:id="rId1"/>
  <headerFooter alignWithMargins="0">
    <oddFooter>&amp;CTrang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zoomScalePageLayoutView="0" workbookViewId="0" topLeftCell="A1">
      <selection activeCell="H6" sqref="H6"/>
    </sheetView>
  </sheetViews>
  <sheetFormatPr defaultColWidth="8.72265625" defaultRowHeight="16.5"/>
  <cols>
    <col min="1" max="1" width="5.99609375" style="127" customWidth="1"/>
    <col min="2" max="2" width="21.18359375" style="3" customWidth="1"/>
    <col min="3" max="3" width="8.8125" style="3" customWidth="1"/>
    <col min="4" max="4" width="7.99609375" style="3" customWidth="1"/>
    <col min="5" max="5" width="9.6328125" style="3" customWidth="1"/>
    <col min="6" max="6" width="10.99609375" style="3" customWidth="1"/>
    <col min="7" max="7" width="7.90625" style="3" customWidth="1"/>
    <col min="8" max="8" width="10.54296875" style="3" customWidth="1"/>
    <col min="9" max="9" width="9.453125" style="3" customWidth="1"/>
    <col min="10" max="10" width="10.18359375" style="3" customWidth="1"/>
    <col min="11" max="11" width="8.6328125" style="3" customWidth="1"/>
    <col min="12" max="12" width="9.18359375" style="3" customWidth="1"/>
    <col min="13" max="16384" width="8.90625" style="3" customWidth="1"/>
  </cols>
  <sheetData>
    <row r="1" spans="8:12" ht="18.75" customHeight="1">
      <c r="H1" s="128"/>
      <c r="K1" s="555" t="s">
        <v>117</v>
      </c>
      <c r="L1" s="555"/>
    </row>
    <row r="2" spans="1:10" ht="21" customHeight="1">
      <c r="A2" s="556" t="s">
        <v>176</v>
      </c>
      <c r="B2" s="556"/>
      <c r="C2" s="556"/>
      <c r="D2" s="556"/>
      <c r="E2" s="556"/>
      <c r="F2" s="556"/>
      <c r="G2" s="556"/>
      <c r="H2" s="556"/>
      <c r="I2" s="556"/>
      <c r="J2" s="556"/>
    </row>
    <row r="3" spans="1:7" ht="21" customHeight="1">
      <c r="A3" s="145"/>
      <c r="B3" s="146"/>
      <c r="C3" s="147"/>
      <c r="D3" s="147"/>
      <c r="E3" s="147"/>
      <c r="F3" s="147"/>
      <c r="G3" s="147"/>
    </row>
    <row r="4" spans="1:12" ht="16.5" customHeight="1">
      <c r="A4" s="566" t="s">
        <v>147</v>
      </c>
      <c r="B4" s="567" t="s">
        <v>148</v>
      </c>
      <c r="C4" s="567" t="s">
        <v>3</v>
      </c>
      <c r="D4" s="568" t="s">
        <v>158</v>
      </c>
      <c r="E4" s="551" t="s">
        <v>120</v>
      </c>
      <c r="F4" s="552"/>
      <c r="G4" s="551" t="s">
        <v>121</v>
      </c>
      <c r="H4" s="552"/>
      <c r="I4" s="551" t="s">
        <v>90</v>
      </c>
      <c r="J4" s="552"/>
      <c r="K4" s="551" t="s">
        <v>242</v>
      </c>
      <c r="L4" s="552"/>
    </row>
    <row r="5" spans="1:12" ht="32.25" customHeight="1">
      <c r="A5" s="566"/>
      <c r="B5" s="567"/>
      <c r="C5" s="567"/>
      <c r="D5" s="569"/>
      <c r="E5" s="553"/>
      <c r="F5" s="554"/>
      <c r="G5" s="553"/>
      <c r="H5" s="554"/>
      <c r="I5" s="553"/>
      <c r="J5" s="554"/>
      <c r="K5" s="553"/>
      <c r="L5" s="554"/>
    </row>
    <row r="6" spans="1:12" ht="52.5" customHeight="1">
      <c r="A6" s="566"/>
      <c r="B6" s="567"/>
      <c r="C6" s="567"/>
      <c r="D6" s="570"/>
      <c r="E6" s="148" t="s">
        <v>159</v>
      </c>
      <c r="F6" s="149" t="s">
        <v>129</v>
      </c>
      <c r="G6" s="148" t="s">
        <v>159</v>
      </c>
      <c r="H6" s="149" t="s">
        <v>129</v>
      </c>
      <c r="I6" s="148" t="s">
        <v>159</v>
      </c>
      <c r="J6" s="149" t="s">
        <v>129</v>
      </c>
      <c r="K6" s="148" t="s">
        <v>159</v>
      </c>
      <c r="L6" s="149" t="s">
        <v>129</v>
      </c>
    </row>
    <row r="7" spans="1:12" ht="24.75" customHeight="1">
      <c r="A7" s="203">
        <v>1</v>
      </c>
      <c r="B7" s="150" t="s">
        <v>177</v>
      </c>
      <c r="C7" s="202" t="s">
        <v>160</v>
      </c>
      <c r="D7" s="193">
        <v>5000</v>
      </c>
      <c r="E7" s="192">
        <f>2/30</f>
        <v>0.06666666666666667</v>
      </c>
      <c r="F7" s="193">
        <f>D7*E7</f>
        <v>333.3333333333333</v>
      </c>
      <c r="G7" s="194">
        <v>0.03</v>
      </c>
      <c r="H7" s="195">
        <f>D7*G7</f>
        <v>150</v>
      </c>
      <c r="I7" s="194">
        <f>2/30</f>
        <v>0.06666666666666667</v>
      </c>
      <c r="J7" s="195">
        <f>D7*I7</f>
        <v>333.3333333333333</v>
      </c>
      <c r="K7" s="194"/>
      <c r="L7" s="195"/>
    </row>
    <row r="8" spans="1:12" ht="26.25" customHeight="1">
      <c r="A8" s="203">
        <v>2</v>
      </c>
      <c r="B8" s="155" t="s">
        <v>161</v>
      </c>
      <c r="C8" s="203" t="s">
        <v>160</v>
      </c>
      <c r="D8" s="196">
        <v>10000</v>
      </c>
      <c r="E8" s="199">
        <f>0.1/2</f>
        <v>0.05</v>
      </c>
      <c r="F8" s="196">
        <f>D8*E8</f>
        <v>500</v>
      </c>
      <c r="G8" s="197">
        <v>0.01</v>
      </c>
      <c r="H8" s="195">
        <f>D8*G8</f>
        <v>100</v>
      </c>
      <c r="I8" s="197">
        <v>0.02</v>
      </c>
      <c r="J8" s="195">
        <f>D8*I8</f>
        <v>200</v>
      </c>
      <c r="K8" s="197"/>
      <c r="L8" s="195"/>
    </row>
    <row r="9" spans="1:12" ht="24.75" customHeight="1">
      <c r="A9" s="203">
        <v>3</v>
      </c>
      <c r="B9" s="158" t="s">
        <v>162</v>
      </c>
      <c r="C9" s="191" t="s">
        <v>156</v>
      </c>
      <c r="D9" s="196">
        <v>3000</v>
      </c>
      <c r="E9" s="198"/>
      <c r="F9" s="198"/>
      <c r="G9" s="158">
        <v>1</v>
      </c>
      <c r="H9" s="195">
        <f>D9*G9</f>
        <v>3000</v>
      </c>
      <c r="I9" s="158"/>
      <c r="J9" s="195"/>
      <c r="K9" s="158"/>
      <c r="L9" s="195"/>
    </row>
    <row r="10" spans="1:12" ht="24.75" customHeight="1">
      <c r="A10" s="191">
        <v>4</v>
      </c>
      <c r="B10" s="158" t="s">
        <v>188</v>
      </c>
      <c r="C10" s="191" t="s">
        <v>156</v>
      </c>
      <c r="D10" s="196">
        <v>2000</v>
      </c>
      <c r="E10" s="200">
        <f>1/30</f>
        <v>0.03333333333333333</v>
      </c>
      <c r="F10" s="201">
        <f>D10*E10</f>
        <v>66.66666666666667</v>
      </c>
      <c r="G10" s="158"/>
      <c r="H10" s="179"/>
      <c r="I10" s="158"/>
      <c r="J10" s="179"/>
      <c r="K10" s="158"/>
      <c r="L10" s="179"/>
    </row>
    <row r="11" spans="1:12" ht="24.75" customHeight="1">
      <c r="A11" s="203">
        <v>5</v>
      </c>
      <c r="B11" s="158" t="s">
        <v>198</v>
      </c>
      <c r="C11" s="191" t="s">
        <v>200</v>
      </c>
      <c r="D11" s="196">
        <v>45000</v>
      </c>
      <c r="E11" s="200"/>
      <c r="F11" s="201"/>
      <c r="G11" s="158"/>
      <c r="H11" s="179"/>
      <c r="I11" s="158"/>
      <c r="J11" s="179"/>
      <c r="K11" s="158">
        <v>0.001</v>
      </c>
      <c r="L11" s="179">
        <f>D11*K11</f>
        <v>45</v>
      </c>
    </row>
    <row r="12" spans="1:12" ht="24.75" customHeight="1">
      <c r="A12" s="191">
        <v>6</v>
      </c>
      <c r="B12" s="158" t="s">
        <v>199</v>
      </c>
      <c r="C12" s="207" t="s">
        <v>201</v>
      </c>
      <c r="D12" s="196">
        <v>4500</v>
      </c>
      <c r="E12" s="208"/>
      <c r="F12" s="209"/>
      <c r="G12" s="178"/>
      <c r="H12" s="182"/>
      <c r="I12" s="178"/>
      <c r="J12" s="182"/>
      <c r="K12" s="208">
        <f>4/30</f>
        <v>0.13333333333333333</v>
      </c>
      <c r="L12" s="182">
        <f>K12*D12</f>
        <v>600</v>
      </c>
    </row>
    <row r="13" spans="1:12" ht="19.5" customHeight="1">
      <c r="A13" s="141"/>
      <c r="B13" s="161" t="s">
        <v>93</v>
      </c>
      <c r="C13" s="162"/>
      <c r="D13" s="162"/>
      <c r="E13" s="162"/>
      <c r="F13" s="144">
        <f>SUM(F7:F10)</f>
        <v>899.9999999999999</v>
      </c>
      <c r="G13" s="162"/>
      <c r="H13" s="144">
        <f>SUM(H7:H10)</f>
        <v>3250</v>
      </c>
      <c r="I13" s="162"/>
      <c r="J13" s="144">
        <f>SUM(J7:J10)</f>
        <v>533.3333333333333</v>
      </c>
      <c r="K13" s="162"/>
      <c r="L13" s="144">
        <f>SUM(L7:L12)</f>
        <v>645</v>
      </c>
    </row>
    <row r="14" ht="11.25" customHeight="1"/>
    <row r="15" spans="2:7" ht="26.25" customHeight="1">
      <c r="B15" s="284" t="s">
        <v>189</v>
      </c>
      <c r="C15" s="284"/>
      <c r="D15" s="284"/>
      <c r="E15" s="284"/>
      <c r="F15" s="284"/>
      <c r="G15" s="284"/>
    </row>
    <row r="16" spans="2:3" ht="16.5">
      <c r="B16" s="3" t="s">
        <v>190</v>
      </c>
      <c r="C16" s="206">
        <v>0.7</v>
      </c>
    </row>
    <row r="17" spans="2:3" ht="16.5">
      <c r="B17" s="3" t="s">
        <v>191</v>
      </c>
      <c r="C17" s="3">
        <v>0.85</v>
      </c>
    </row>
    <row r="18" spans="2:3" ht="16.5">
      <c r="B18" s="3" t="s">
        <v>192</v>
      </c>
      <c r="C18" s="206">
        <v>1</v>
      </c>
    </row>
    <row r="19" spans="2:3" ht="16.5">
      <c r="B19" s="3" t="s">
        <v>193</v>
      </c>
      <c r="C19" s="3">
        <v>1.25</v>
      </c>
    </row>
    <row r="20" spans="2:3" ht="16.5">
      <c r="B20" s="3" t="s">
        <v>194</v>
      </c>
      <c r="C20" s="206">
        <v>1.3</v>
      </c>
    </row>
    <row r="21" spans="2:3" ht="16.5">
      <c r="B21" s="3" t="s">
        <v>195</v>
      </c>
      <c r="C21" s="3">
        <v>1.35</v>
      </c>
    </row>
  </sheetData>
  <sheetProtection/>
  <mergeCells count="10">
    <mergeCell ref="K4:L5"/>
    <mergeCell ref="K1:L1"/>
    <mergeCell ref="A2:J2"/>
    <mergeCell ref="A4:A6"/>
    <mergeCell ref="B4:B6"/>
    <mergeCell ref="C4:C6"/>
    <mergeCell ref="D4:D6"/>
    <mergeCell ref="G4:H5"/>
    <mergeCell ref="I4:J5"/>
    <mergeCell ref="E4:F5"/>
  </mergeCells>
  <printOptions/>
  <pageMargins left="1.1023622047244095" right="0.9055118110236221" top="0.7480314960629921" bottom="0.7480314960629921" header="0.31496062992125984" footer="0.31496062992125984"/>
  <pageSetup firstPageNumber="21" useFirstPageNumber="1" horizontalDpi="600" verticalDpi="600" orientation="landscape" paperSize="9" scale="80" r:id="rId1"/>
  <headerFooter alignWithMargins="0">
    <oddFooter>&amp;CTrang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zoomScalePageLayoutView="0" workbookViewId="0" topLeftCell="A1">
      <selection activeCell="F8" sqref="F8"/>
    </sheetView>
  </sheetViews>
  <sheetFormatPr defaultColWidth="8.72265625" defaultRowHeight="16.5"/>
  <cols>
    <col min="1" max="1" width="4.0859375" style="127" customWidth="1"/>
    <col min="2" max="2" width="17.0859375" style="3" customWidth="1"/>
    <col min="3" max="3" width="6.99609375" style="3" customWidth="1"/>
    <col min="4" max="4" width="5.99609375" style="3" customWidth="1"/>
    <col min="5" max="5" width="11.54296875" style="3" customWidth="1"/>
    <col min="6" max="6" width="9.0859375" style="3" customWidth="1"/>
    <col min="7" max="7" width="8.54296875" style="3" customWidth="1"/>
    <col min="8" max="8" width="8.90625" style="3" customWidth="1"/>
    <col min="9" max="9" width="8.54296875" style="3" customWidth="1"/>
    <col min="10" max="10" width="5.8125" style="3" customWidth="1"/>
    <col min="11" max="11" width="7.90625" style="3" customWidth="1"/>
    <col min="12" max="12" width="5.90625" style="3" customWidth="1"/>
    <col min="13" max="13" width="7.54296875" style="3" customWidth="1"/>
    <col min="14" max="14" width="7.0859375" style="3" customWidth="1"/>
    <col min="15" max="15" width="7.54296875" style="3" customWidth="1"/>
    <col min="16" max="16" width="8.36328125" style="3" customWidth="1"/>
    <col min="17" max="16384" width="8.90625" style="3" customWidth="1"/>
  </cols>
  <sheetData>
    <row r="1" spans="9:16" ht="16.5">
      <c r="I1" s="579"/>
      <c r="J1" s="579"/>
      <c r="O1" s="555" t="s">
        <v>215</v>
      </c>
      <c r="P1" s="555"/>
    </row>
    <row r="2" spans="1:16" ht="26.25" customHeight="1">
      <c r="A2" s="580" t="s">
        <v>179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</row>
    <row r="3" spans="1:16" ht="61.5" customHeight="1">
      <c r="A3" s="581" t="s">
        <v>147</v>
      </c>
      <c r="B3" s="559" t="s">
        <v>148</v>
      </c>
      <c r="C3" s="559" t="s">
        <v>3</v>
      </c>
      <c r="D3" s="562" t="s">
        <v>149</v>
      </c>
      <c r="E3" s="562" t="s">
        <v>150</v>
      </c>
      <c r="F3" s="562" t="s">
        <v>151</v>
      </c>
      <c r="G3" s="577" t="s">
        <v>120</v>
      </c>
      <c r="H3" s="578"/>
      <c r="I3" s="577" t="s">
        <v>196</v>
      </c>
      <c r="J3" s="578"/>
      <c r="K3" s="577" t="s">
        <v>88</v>
      </c>
      <c r="L3" s="578"/>
      <c r="M3" s="577" t="s">
        <v>121</v>
      </c>
      <c r="N3" s="578"/>
      <c r="O3" s="577" t="s">
        <v>90</v>
      </c>
      <c r="P3" s="578"/>
    </row>
    <row r="4" spans="1:16" ht="16.5" customHeight="1">
      <c r="A4" s="582"/>
      <c r="B4" s="560"/>
      <c r="C4" s="560"/>
      <c r="D4" s="563"/>
      <c r="E4" s="563"/>
      <c r="F4" s="563"/>
      <c r="G4" s="571" t="s">
        <v>152</v>
      </c>
      <c r="H4" s="574" t="s">
        <v>129</v>
      </c>
      <c r="I4" s="571" t="s">
        <v>153</v>
      </c>
      <c r="J4" s="574" t="s">
        <v>129</v>
      </c>
      <c r="K4" s="571" t="s">
        <v>153</v>
      </c>
      <c r="L4" s="574" t="s">
        <v>129</v>
      </c>
      <c r="M4" s="571" t="s">
        <v>153</v>
      </c>
      <c r="N4" s="574" t="s">
        <v>129</v>
      </c>
      <c r="O4" s="571" t="s">
        <v>153</v>
      </c>
      <c r="P4" s="574" t="s">
        <v>129</v>
      </c>
    </row>
    <row r="5" spans="1:16" ht="22.5" customHeight="1">
      <c r="A5" s="582"/>
      <c r="B5" s="560"/>
      <c r="C5" s="560"/>
      <c r="D5" s="563"/>
      <c r="E5" s="563"/>
      <c r="F5" s="563"/>
      <c r="G5" s="572"/>
      <c r="H5" s="575"/>
      <c r="I5" s="572"/>
      <c r="J5" s="575"/>
      <c r="K5" s="572"/>
      <c r="L5" s="575"/>
      <c r="M5" s="572"/>
      <c r="N5" s="575"/>
      <c r="O5" s="572"/>
      <c r="P5" s="575"/>
    </row>
    <row r="6" spans="1:16" ht="36.75" customHeight="1">
      <c r="A6" s="583"/>
      <c r="B6" s="561"/>
      <c r="C6" s="561"/>
      <c r="D6" s="564"/>
      <c r="E6" s="564"/>
      <c r="F6" s="564"/>
      <c r="G6" s="573"/>
      <c r="H6" s="576"/>
      <c r="I6" s="573"/>
      <c r="J6" s="576"/>
      <c r="K6" s="573"/>
      <c r="L6" s="576"/>
      <c r="M6" s="573"/>
      <c r="N6" s="576"/>
      <c r="O6" s="573"/>
      <c r="P6" s="576"/>
    </row>
    <row r="7" spans="1:16" ht="24.75" customHeight="1">
      <c r="A7" s="130">
        <v>1</v>
      </c>
      <c r="B7" s="131" t="s">
        <v>154</v>
      </c>
      <c r="C7" s="132" t="s">
        <v>155</v>
      </c>
      <c r="D7" s="151">
        <v>1</v>
      </c>
      <c r="E7" s="181">
        <v>180000000</v>
      </c>
      <c r="F7" s="181">
        <f>E7/10/250</f>
        <v>72000</v>
      </c>
      <c r="G7" s="189">
        <f>1.15/30</f>
        <v>0.03833333333333333</v>
      </c>
      <c r="H7" s="190">
        <f>F7*G7</f>
        <v>2760</v>
      </c>
      <c r="I7" s="134"/>
      <c r="J7" s="135"/>
      <c r="K7" s="134">
        <f>'[2]THIETBI'!$F$6</f>
        <v>0.01</v>
      </c>
      <c r="L7" s="135">
        <f>F7*K7</f>
        <v>720</v>
      </c>
      <c r="M7" s="134">
        <v>0.11</v>
      </c>
      <c r="N7" s="135">
        <f>F7*M7</f>
        <v>7920</v>
      </c>
      <c r="O7" s="134">
        <f>'[2]THIETBI'!$H$6</f>
        <v>0.05</v>
      </c>
      <c r="P7" s="135">
        <f>F7*O7</f>
        <v>3600</v>
      </c>
    </row>
    <row r="8" spans="1:16" ht="24.75" customHeight="1">
      <c r="A8" s="136">
        <v>2</v>
      </c>
      <c r="B8" s="137" t="s">
        <v>175</v>
      </c>
      <c r="C8" s="138" t="s">
        <v>156</v>
      </c>
      <c r="D8" s="180">
        <v>1</v>
      </c>
      <c r="E8" s="179">
        <v>15000000</v>
      </c>
      <c r="F8" s="179">
        <f>E8/5/250</f>
        <v>12000</v>
      </c>
      <c r="G8" s="139"/>
      <c r="H8" s="140"/>
      <c r="I8" s="139">
        <f>'[2]THIETBI'!$E$7</f>
        <v>0.22</v>
      </c>
      <c r="J8" s="140">
        <f>F8*I8</f>
        <v>2640</v>
      </c>
      <c r="K8" s="139"/>
      <c r="L8" s="140"/>
      <c r="M8" s="139"/>
      <c r="N8" s="140"/>
      <c r="O8" s="139"/>
      <c r="P8" s="140"/>
    </row>
    <row r="9" spans="1:16" ht="24.75" customHeight="1" hidden="1">
      <c r="A9" s="136"/>
      <c r="B9" s="137"/>
      <c r="C9" s="183"/>
      <c r="D9" s="180"/>
      <c r="E9" s="179"/>
      <c r="F9" s="179"/>
      <c r="G9" s="188"/>
      <c r="H9" s="179"/>
      <c r="I9" s="139"/>
      <c r="J9" s="140"/>
      <c r="K9" s="137"/>
      <c r="L9" s="140"/>
      <c r="M9" s="188"/>
      <c r="N9" s="179"/>
      <c r="O9" s="188"/>
      <c r="P9" s="179"/>
    </row>
    <row r="10" spans="1:16" ht="24.75" customHeight="1">
      <c r="A10" s="184">
        <v>3</v>
      </c>
      <c r="B10" s="137" t="s">
        <v>187</v>
      </c>
      <c r="C10" s="184" t="s">
        <v>156</v>
      </c>
      <c r="D10" s="137">
        <v>2</v>
      </c>
      <c r="E10" s="179">
        <v>13500000</v>
      </c>
      <c r="F10" s="179">
        <f>E10/5/250</f>
        <v>10800</v>
      </c>
      <c r="G10" s="137">
        <v>0.07</v>
      </c>
      <c r="H10" s="137">
        <f>F10*G10</f>
        <v>756.0000000000001</v>
      </c>
      <c r="I10" s="137"/>
      <c r="J10" s="137"/>
      <c r="K10" s="137"/>
      <c r="L10" s="137"/>
      <c r="M10" s="137">
        <f>0.07</f>
        <v>0.07</v>
      </c>
      <c r="N10" s="137">
        <f>M10*F10</f>
        <v>756.0000000000001</v>
      </c>
      <c r="O10" s="137"/>
      <c r="P10" s="137"/>
    </row>
    <row r="11" spans="1:16" ht="24.75" customHeight="1">
      <c r="A11" s="141"/>
      <c r="B11" s="142" t="s">
        <v>93</v>
      </c>
      <c r="C11" s="186"/>
      <c r="D11" s="187"/>
      <c r="E11" s="187"/>
      <c r="F11" s="187"/>
      <c r="G11" s="187"/>
      <c r="H11" s="185"/>
      <c r="I11" s="187"/>
      <c r="J11" s="185"/>
      <c r="K11" s="187"/>
      <c r="L11" s="185"/>
      <c r="M11" s="187"/>
      <c r="N11" s="185"/>
      <c r="O11" s="187"/>
      <c r="P11" s="185"/>
    </row>
    <row r="13" ht="16.5">
      <c r="B13" s="3" t="s">
        <v>189</v>
      </c>
    </row>
    <row r="14" spans="2:3" ht="16.5">
      <c r="B14" s="3" t="s">
        <v>190</v>
      </c>
      <c r="C14" s="206">
        <v>0.7</v>
      </c>
    </row>
    <row r="15" spans="2:3" ht="16.5">
      <c r="B15" s="3" t="s">
        <v>191</v>
      </c>
      <c r="C15" s="206">
        <v>0.8</v>
      </c>
    </row>
    <row r="16" spans="2:3" ht="16.5">
      <c r="B16" s="3" t="s">
        <v>192</v>
      </c>
      <c r="C16" s="206">
        <v>1</v>
      </c>
    </row>
    <row r="17" spans="2:3" ht="16.5">
      <c r="B17" s="3" t="s">
        <v>193</v>
      </c>
      <c r="C17" s="206">
        <v>1.2</v>
      </c>
    </row>
    <row r="18" spans="2:3" ht="16.5">
      <c r="B18" s="3" t="s">
        <v>194</v>
      </c>
      <c r="C18" s="206">
        <v>1.3</v>
      </c>
    </row>
    <row r="19" spans="2:3" ht="16.5">
      <c r="B19" s="3" t="s">
        <v>195</v>
      </c>
      <c r="C19" s="206">
        <v>1.4</v>
      </c>
    </row>
  </sheetData>
  <sheetProtection/>
  <mergeCells count="24">
    <mergeCell ref="F3:F6"/>
    <mergeCell ref="G3:H3"/>
    <mergeCell ref="K4:K6"/>
    <mergeCell ref="L4:L6"/>
    <mergeCell ref="I1:J1"/>
    <mergeCell ref="O1:P1"/>
    <mergeCell ref="A2:P2"/>
    <mergeCell ref="A3:A6"/>
    <mergeCell ref="B3:B6"/>
    <mergeCell ref="C3:C6"/>
    <mergeCell ref="D3:D6"/>
    <mergeCell ref="E3:E6"/>
    <mergeCell ref="G4:G6"/>
    <mergeCell ref="H4:H6"/>
    <mergeCell ref="I4:I6"/>
    <mergeCell ref="J4:J6"/>
    <mergeCell ref="I3:J3"/>
    <mergeCell ref="K3:L3"/>
    <mergeCell ref="M3:N3"/>
    <mergeCell ref="O3:P3"/>
    <mergeCell ref="M4:M6"/>
    <mergeCell ref="N4:N6"/>
    <mergeCell ref="O4:O6"/>
    <mergeCell ref="P4:P6"/>
  </mergeCells>
  <printOptions/>
  <pageMargins left="0.6692913385826772" right="0.4724409448818898" top="0.7480314960629921" bottom="0.7480314960629921" header="0.31496062992125984" footer="0.31496062992125984"/>
  <pageSetup firstPageNumber="22" useFirstPageNumber="1" horizontalDpi="600" verticalDpi="600" orientation="landscape" paperSize="9" scale="80" r:id="rId1"/>
  <headerFooter alignWithMargins="0">
    <oddFooter>&amp;CTrang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74"/>
  <sheetViews>
    <sheetView zoomScale="75" zoomScaleNormal="75" zoomScalePageLayoutView="0" workbookViewId="0" topLeftCell="A1">
      <selection activeCell="B9" sqref="B9"/>
    </sheetView>
  </sheetViews>
  <sheetFormatPr defaultColWidth="8.72265625" defaultRowHeight="16.5"/>
  <cols>
    <col min="1" max="1" width="6.0859375" style="427" customWidth="1"/>
    <col min="2" max="2" width="31.99609375" style="428" customWidth="1"/>
    <col min="3" max="3" width="21.18359375" style="428" customWidth="1"/>
    <col min="4" max="4" width="9.0859375" style="428" customWidth="1"/>
    <col min="5" max="5" width="14.36328125" style="428" customWidth="1"/>
    <col min="6" max="6" width="14.54296875" style="428" customWidth="1"/>
    <col min="7" max="7" width="8.90625" style="428" customWidth="1"/>
    <col min="8" max="8" width="8.90625" style="429" customWidth="1"/>
    <col min="9" max="16384" width="8.90625" style="428" customWidth="1"/>
  </cols>
  <sheetData>
    <row r="1" spans="5:6" ht="18.75">
      <c r="E1" s="584" t="s">
        <v>216</v>
      </c>
      <c r="F1" s="584"/>
    </row>
    <row r="2" spans="1:6" ht="34.5" customHeight="1">
      <c r="A2" s="585" t="s">
        <v>218</v>
      </c>
      <c r="B2" s="585"/>
      <c r="C2" s="585"/>
      <c r="D2" s="585"/>
      <c r="E2" s="585"/>
      <c r="F2" s="585"/>
    </row>
    <row r="3" spans="1:6" ht="33" customHeight="1">
      <c r="A3" s="586" t="s">
        <v>0</v>
      </c>
      <c r="B3" s="586" t="s">
        <v>89</v>
      </c>
      <c r="C3" s="586" t="s">
        <v>118</v>
      </c>
      <c r="D3" s="586" t="s">
        <v>112</v>
      </c>
      <c r="E3" s="589" t="s">
        <v>130</v>
      </c>
      <c r="F3" s="586" t="s">
        <v>4</v>
      </c>
    </row>
    <row r="4" spans="1:6" ht="6.75" customHeight="1">
      <c r="A4" s="587"/>
      <c r="B4" s="587"/>
      <c r="C4" s="587"/>
      <c r="D4" s="588"/>
      <c r="E4" s="590"/>
      <c r="F4" s="588"/>
    </row>
    <row r="5" spans="1:6" ht="33.75" customHeight="1">
      <c r="A5" s="430" t="s">
        <v>1</v>
      </c>
      <c r="B5" s="431" t="s">
        <v>119</v>
      </c>
      <c r="C5" s="431"/>
      <c r="D5" s="431"/>
      <c r="E5" s="432"/>
      <c r="F5" s="433"/>
    </row>
    <row r="6" spans="1:12" ht="38.25" customHeight="1">
      <c r="A6" s="434">
        <v>1</v>
      </c>
      <c r="B6" s="435" t="s">
        <v>91</v>
      </c>
      <c r="C6" s="436" t="s">
        <v>235</v>
      </c>
      <c r="D6" s="437" t="s">
        <v>113</v>
      </c>
      <c r="E6" s="438">
        <v>0.009</v>
      </c>
      <c r="F6" s="434"/>
      <c r="H6" s="439">
        <f>E6*4</f>
        <v>0.036</v>
      </c>
      <c r="I6" s="440">
        <f>$E6*4</f>
        <v>0.036</v>
      </c>
      <c r="J6" s="440">
        <f>$E6*4</f>
        <v>0.036</v>
      </c>
      <c r="L6" s="428">
        <v>40</v>
      </c>
    </row>
    <row r="7" spans="1:12" ht="34.5" customHeight="1">
      <c r="A7" s="434">
        <v>2</v>
      </c>
      <c r="B7" s="441" t="s">
        <v>94</v>
      </c>
      <c r="C7" s="442" t="s">
        <v>132</v>
      </c>
      <c r="D7" s="437" t="s">
        <v>113</v>
      </c>
      <c r="E7" s="438">
        <f>5/480</f>
        <v>0.010416666666666666</v>
      </c>
      <c r="F7" s="434"/>
      <c r="H7" s="429">
        <f>$E7</f>
        <v>0.010416666666666666</v>
      </c>
      <c r="I7" s="443">
        <f>$E7*2</f>
        <v>0.020833333333333332</v>
      </c>
      <c r="J7" s="443">
        <f>$E7*2</f>
        <v>0.020833333333333332</v>
      </c>
      <c r="L7" s="428">
        <v>20</v>
      </c>
    </row>
    <row r="8" spans="1:12" ht="40.5" customHeight="1">
      <c r="A8" s="434">
        <v>3</v>
      </c>
      <c r="B8" s="441" t="s">
        <v>88</v>
      </c>
      <c r="C8" s="442" t="s">
        <v>132</v>
      </c>
      <c r="D8" s="437" t="s">
        <v>113</v>
      </c>
      <c r="E8" s="444">
        <f>10/480</f>
        <v>0.020833333333333332</v>
      </c>
      <c r="F8" s="445"/>
      <c r="H8" s="429">
        <f>$E8</f>
        <v>0.020833333333333332</v>
      </c>
      <c r="I8" s="443">
        <f>$E8*2</f>
        <v>0.041666666666666664</v>
      </c>
      <c r="J8" s="443">
        <f>$E8*2</f>
        <v>0.041666666666666664</v>
      </c>
      <c r="L8" s="428">
        <v>20</v>
      </c>
    </row>
    <row r="9" spans="1:10" ht="39" customHeight="1">
      <c r="A9" s="434">
        <v>4</v>
      </c>
      <c r="B9" s="435" t="s">
        <v>120</v>
      </c>
      <c r="C9" s="442" t="s">
        <v>234</v>
      </c>
      <c r="D9" s="437" t="s">
        <v>21</v>
      </c>
      <c r="E9" s="446">
        <f>2.6*5/6.25/60</f>
        <v>0.034666666666666665</v>
      </c>
      <c r="F9" s="434"/>
      <c r="H9" s="429">
        <f aca="true" t="shared" si="0" ref="H9:H14">$E9*5</f>
        <v>0.17333333333333334</v>
      </c>
      <c r="I9" s="440"/>
      <c r="J9" s="440"/>
    </row>
    <row r="10" spans="1:10" ht="24.75" customHeight="1">
      <c r="A10" s="434" t="s">
        <v>92</v>
      </c>
      <c r="B10" s="435"/>
      <c r="C10" s="436"/>
      <c r="D10" s="437" t="s">
        <v>19</v>
      </c>
      <c r="E10" s="446">
        <f>$E$9*1.2</f>
        <v>0.0416</v>
      </c>
      <c r="F10" s="434"/>
      <c r="H10" s="429">
        <f t="shared" si="0"/>
        <v>0.208</v>
      </c>
      <c r="I10" s="440"/>
      <c r="J10" s="440"/>
    </row>
    <row r="11" spans="1:10" ht="24.75" customHeight="1">
      <c r="A11" s="434" t="s">
        <v>92</v>
      </c>
      <c r="B11" s="435"/>
      <c r="C11" s="436"/>
      <c r="D11" s="437" t="s">
        <v>5</v>
      </c>
      <c r="E11" s="446">
        <f>E10*1.2</f>
        <v>0.04992</v>
      </c>
      <c r="F11" s="434"/>
      <c r="H11" s="429">
        <f t="shared" si="0"/>
        <v>0.2496</v>
      </c>
      <c r="I11" s="440"/>
      <c r="J11" s="440"/>
    </row>
    <row r="12" spans="1:10" ht="24.75" customHeight="1">
      <c r="A12" s="434" t="s">
        <v>92</v>
      </c>
      <c r="B12" s="435"/>
      <c r="C12" s="436"/>
      <c r="D12" s="437" t="s">
        <v>16</v>
      </c>
      <c r="E12" s="446">
        <f>E11*1.2</f>
        <v>0.059904</v>
      </c>
      <c r="F12" s="434"/>
      <c r="H12" s="429">
        <f t="shared" si="0"/>
        <v>0.29952</v>
      </c>
      <c r="I12" s="440"/>
      <c r="J12" s="440"/>
    </row>
    <row r="13" spans="1:10" ht="24.75" customHeight="1">
      <c r="A13" s="434" t="s">
        <v>92</v>
      </c>
      <c r="B13" s="435"/>
      <c r="C13" s="436"/>
      <c r="D13" s="437" t="s">
        <v>15</v>
      </c>
      <c r="E13" s="446">
        <f>$E$9*1.9</f>
        <v>0.06586666666666666</v>
      </c>
      <c r="F13" s="434"/>
      <c r="H13" s="429">
        <f t="shared" si="0"/>
        <v>0.32933333333333326</v>
      </c>
      <c r="I13" s="440"/>
      <c r="J13" s="440"/>
    </row>
    <row r="14" spans="1:10" ht="24.75" customHeight="1">
      <c r="A14" s="434" t="s">
        <v>92</v>
      </c>
      <c r="B14" s="435"/>
      <c r="C14" s="436"/>
      <c r="D14" s="437" t="s">
        <v>14</v>
      </c>
      <c r="E14" s="446">
        <f>$E$9*2</f>
        <v>0.06933333333333333</v>
      </c>
      <c r="F14" s="434"/>
      <c r="H14" s="429">
        <f t="shared" si="0"/>
        <v>0.3466666666666667</v>
      </c>
      <c r="I14" s="440"/>
      <c r="J14" s="440"/>
    </row>
    <row r="15" spans="1:15" ht="46.5" customHeight="1">
      <c r="A15" s="447">
        <v>5</v>
      </c>
      <c r="B15" s="448" t="s">
        <v>121</v>
      </c>
      <c r="C15" s="442" t="s">
        <v>234</v>
      </c>
      <c r="D15" s="449"/>
      <c r="E15" s="450"/>
      <c r="F15" s="451"/>
      <c r="H15" s="439"/>
      <c r="I15" s="440">
        <f>$E15*5</f>
        <v>0</v>
      </c>
      <c r="J15" s="440">
        <f>$E15*5</f>
        <v>0</v>
      </c>
      <c r="L15" s="428">
        <v>250</v>
      </c>
      <c r="O15" s="428">
        <f>7/480</f>
        <v>0.014583333333333334</v>
      </c>
    </row>
    <row r="16" spans="1:10" ht="30.75" customHeight="1">
      <c r="A16" s="447" t="s">
        <v>92</v>
      </c>
      <c r="B16" s="448"/>
      <c r="C16" s="442"/>
      <c r="D16" s="449" t="s">
        <v>21</v>
      </c>
      <c r="E16" s="452">
        <f>60/480</f>
        <v>0.125</v>
      </c>
      <c r="F16" s="451"/>
      <c r="H16" s="439">
        <f aca="true" t="shared" si="1" ref="H16:H21">E16*5</f>
        <v>0.625</v>
      </c>
      <c r="I16" s="440"/>
      <c r="J16" s="440"/>
    </row>
    <row r="17" spans="1:10" ht="24.75" customHeight="1">
      <c r="A17" s="453" t="s">
        <v>92</v>
      </c>
      <c r="B17" s="454"/>
      <c r="C17" s="454"/>
      <c r="D17" s="455" t="s">
        <v>19</v>
      </c>
      <c r="E17" s="456">
        <f>90/480</f>
        <v>0.1875</v>
      </c>
      <c r="F17" s="457"/>
      <c r="H17" s="439">
        <f t="shared" si="1"/>
        <v>0.9375</v>
      </c>
      <c r="I17" s="440"/>
      <c r="J17" s="440"/>
    </row>
    <row r="18" spans="1:10" ht="24.75" customHeight="1">
      <c r="A18" s="458" t="s">
        <v>92</v>
      </c>
      <c r="B18" s="459"/>
      <c r="C18" s="459"/>
      <c r="D18" s="460" t="s">
        <v>5</v>
      </c>
      <c r="E18" s="461">
        <f>120/480</f>
        <v>0.25</v>
      </c>
      <c r="F18" s="462"/>
      <c r="H18" s="439">
        <f t="shared" si="1"/>
        <v>1.25</v>
      </c>
      <c r="I18" s="440"/>
      <c r="J18" s="440"/>
    </row>
    <row r="19" spans="1:10" ht="24.75" customHeight="1">
      <c r="A19" s="434" t="s">
        <v>92</v>
      </c>
      <c r="B19" s="463"/>
      <c r="C19" s="463"/>
      <c r="D19" s="437" t="s">
        <v>16</v>
      </c>
      <c r="E19" s="452">
        <f>150/480</f>
        <v>0.3125</v>
      </c>
      <c r="F19" s="445"/>
      <c r="H19" s="439">
        <f t="shared" si="1"/>
        <v>1.5625</v>
      </c>
      <c r="I19" s="440"/>
      <c r="J19" s="440"/>
    </row>
    <row r="20" spans="1:10" ht="24.75" customHeight="1">
      <c r="A20" s="434" t="s">
        <v>92</v>
      </c>
      <c r="B20" s="463"/>
      <c r="C20" s="463"/>
      <c r="D20" s="437" t="s">
        <v>15</v>
      </c>
      <c r="E20" s="452">
        <f>190/480</f>
        <v>0.3958333333333333</v>
      </c>
      <c r="F20" s="445"/>
      <c r="H20" s="439">
        <f t="shared" si="1"/>
        <v>1.9791666666666665</v>
      </c>
      <c r="I20" s="440"/>
      <c r="J20" s="440"/>
    </row>
    <row r="21" spans="1:10" ht="24.75" customHeight="1">
      <c r="A21" s="434" t="s">
        <v>92</v>
      </c>
      <c r="B21" s="463"/>
      <c r="C21" s="463"/>
      <c r="D21" s="437" t="s">
        <v>14</v>
      </c>
      <c r="E21" s="452">
        <f>210/480</f>
        <v>0.4375</v>
      </c>
      <c r="F21" s="445"/>
      <c r="H21" s="439">
        <f t="shared" si="1"/>
        <v>2.1875</v>
      </c>
      <c r="I21" s="440"/>
      <c r="J21" s="440"/>
    </row>
    <row r="22" spans="1:10" ht="48.75" customHeight="1">
      <c r="A22" s="434">
        <v>6</v>
      </c>
      <c r="B22" s="463" t="s">
        <v>239</v>
      </c>
      <c r="C22" s="436" t="s">
        <v>134</v>
      </c>
      <c r="D22" s="437"/>
      <c r="E22" s="464"/>
      <c r="F22" s="445"/>
      <c r="H22" s="439"/>
      <c r="I22" s="440"/>
      <c r="J22" s="440"/>
    </row>
    <row r="23" spans="1:10" ht="30" customHeight="1">
      <c r="A23" s="465" t="s">
        <v>92</v>
      </c>
      <c r="B23" s="466"/>
      <c r="C23" s="467"/>
      <c r="D23" s="437" t="s">
        <v>21</v>
      </c>
      <c r="E23" s="444">
        <f>1/40</f>
        <v>0.025</v>
      </c>
      <c r="F23" s="468"/>
      <c r="H23" s="439">
        <f aca="true" t="shared" si="2" ref="H23:H28">E23</f>
        <v>0.025</v>
      </c>
      <c r="I23" s="440"/>
      <c r="J23" s="440"/>
    </row>
    <row r="24" spans="1:10" ht="24.75" customHeight="1">
      <c r="A24" s="434" t="s">
        <v>92</v>
      </c>
      <c r="B24" s="463"/>
      <c r="C24" s="463"/>
      <c r="D24" s="437" t="s">
        <v>19</v>
      </c>
      <c r="E24" s="444">
        <f>1/35</f>
        <v>0.02857142857142857</v>
      </c>
      <c r="F24" s="445"/>
      <c r="H24" s="439">
        <f t="shared" si="2"/>
        <v>0.02857142857142857</v>
      </c>
      <c r="I24" s="440"/>
      <c r="J24" s="440"/>
    </row>
    <row r="25" spans="1:10" ht="24.75" customHeight="1">
      <c r="A25" s="434" t="s">
        <v>92</v>
      </c>
      <c r="B25" s="463"/>
      <c r="C25" s="463"/>
      <c r="D25" s="437" t="s">
        <v>5</v>
      </c>
      <c r="E25" s="444">
        <f>1/30</f>
        <v>0.03333333333333333</v>
      </c>
      <c r="F25" s="445"/>
      <c r="H25" s="439">
        <f t="shared" si="2"/>
        <v>0.03333333333333333</v>
      </c>
      <c r="I25" s="440"/>
      <c r="J25" s="440"/>
    </row>
    <row r="26" spans="1:12" ht="24.75" customHeight="1">
      <c r="A26" s="434" t="s">
        <v>92</v>
      </c>
      <c r="B26" s="469"/>
      <c r="C26" s="469"/>
      <c r="D26" s="437" t="s">
        <v>16</v>
      </c>
      <c r="E26" s="444">
        <f>1/15</f>
        <v>0.06666666666666667</v>
      </c>
      <c r="F26" s="470"/>
      <c r="H26" s="439">
        <f t="shared" si="2"/>
        <v>0.06666666666666667</v>
      </c>
      <c r="I26" s="443">
        <f>$E26*2</f>
        <v>0.13333333333333333</v>
      </c>
      <c r="J26" s="443">
        <f>$E26*2</f>
        <v>0.13333333333333333</v>
      </c>
      <c r="L26" s="428">
        <v>40</v>
      </c>
    </row>
    <row r="27" spans="1:10" ht="24.75" customHeight="1">
      <c r="A27" s="434" t="s">
        <v>92</v>
      </c>
      <c r="B27" s="469"/>
      <c r="C27" s="469"/>
      <c r="D27" s="437" t="s">
        <v>15</v>
      </c>
      <c r="E27" s="444">
        <f>1/10</f>
        <v>0.1</v>
      </c>
      <c r="F27" s="470"/>
      <c r="H27" s="439">
        <f t="shared" si="2"/>
        <v>0.1</v>
      </c>
      <c r="I27" s="443"/>
      <c r="J27" s="443"/>
    </row>
    <row r="28" spans="1:10" ht="22.5" customHeight="1">
      <c r="A28" s="434" t="s">
        <v>92</v>
      </c>
      <c r="B28" s="469"/>
      <c r="C28" s="469"/>
      <c r="D28" s="437" t="s">
        <v>14</v>
      </c>
      <c r="E28" s="444">
        <f>1/5</f>
        <v>0.2</v>
      </c>
      <c r="F28" s="470"/>
      <c r="H28" s="439">
        <f t="shared" si="2"/>
        <v>0.2</v>
      </c>
      <c r="I28" s="443"/>
      <c r="J28" s="443"/>
    </row>
    <row r="29" spans="1:12" ht="24.75" customHeight="1">
      <c r="A29" s="437" t="s">
        <v>13</v>
      </c>
      <c r="B29" s="441" t="s">
        <v>240</v>
      </c>
      <c r="C29" s="436" t="s">
        <v>134</v>
      </c>
      <c r="D29" s="471"/>
      <c r="E29" s="444"/>
      <c r="F29" s="436"/>
      <c r="I29" s="443">
        <f aca="true" t="shared" si="3" ref="I29:J34">$E29*2</f>
        <v>0</v>
      </c>
      <c r="J29" s="443">
        <f t="shared" si="3"/>
        <v>0</v>
      </c>
      <c r="L29" s="428">
        <v>60</v>
      </c>
    </row>
    <row r="30" spans="1:12" ht="24.75" customHeight="1">
      <c r="A30" s="437" t="s">
        <v>92</v>
      </c>
      <c r="B30" s="472" t="s">
        <v>114</v>
      </c>
      <c r="C30" s="473"/>
      <c r="D30" s="471"/>
      <c r="E30" s="444">
        <f>0.76*0.036</f>
        <v>0.02736</v>
      </c>
      <c r="F30" s="436"/>
      <c r="H30" s="429">
        <f>E30</f>
        <v>0.02736</v>
      </c>
      <c r="I30" s="443">
        <f t="shared" si="3"/>
        <v>0.05472</v>
      </c>
      <c r="J30" s="443">
        <f t="shared" si="3"/>
        <v>0.05472</v>
      </c>
      <c r="L30" s="428">
        <v>80</v>
      </c>
    </row>
    <row r="31" spans="1:10" ht="24.75" customHeight="1">
      <c r="A31" s="437" t="s">
        <v>92</v>
      </c>
      <c r="B31" s="472" t="s">
        <v>115</v>
      </c>
      <c r="C31" s="474"/>
      <c r="D31" s="471"/>
      <c r="E31" s="444">
        <f>0.036*1.19</f>
        <v>0.042839999999999996</v>
      </c>
      <c r="F31" s="436"/>
      <c r="H31" s="429">
        <f>E31</f>
        <v>0.042839999999999996</v>
      </c>
      <c r="I31" s="443"/>
      <c r="J31" s="443"/>
    </row>
    <row r="32" spans="1:10" ht="27" customHeight="1">
      <c r="A32" s="437" t="s">
        <v>92</v>
      </c>
      <c r="B32" s="472" t="s">
        <v>116</v>
      </c>
      <c r="C32" s="475"/>
      <c r="D32" s="471"/>
      <c r="E32" s="444">
        <f>0.036*1.9</f>
        <v>0.06839999999999999</v>
      </c>
      <c r="F32" s="436"/>
      <c r="H32" s="429">
        <f>E32</f>
        <v>0.06839999999999999</v>
      </c>
      <c r="I32" s="443">
        <f t="shared" si="3"/>
        <v>0.13679999999999998</v>
      </c>
      <c r="J32" s="443">
        <f t="shared" si="3"/>
        <v>0.13679999999999998</v>
      </c>
    </row>
    <row r="33" spans="1:10" ht="27" customHeight="1">
      <c r="A33" s="460" t="s">
        <v>92</v>
      </c>
      <c r="B33" s="472" t="s">
        <v>98</v>
      </c>
      <c r="C33" s="475"/>
      <c r="D33" s="476"/>
      <c r="E33" s="444">
        <f>0.036*3.1</f>
        <v>0.11159999999999999</v>
      </c>
      <c r="F33" s="477"/>
      <c r="H33" s="429">
        <f>E33</f>
        <v>0.11159999999999999</v>
      </c>
      <c r="I33" s="443"/>
      <c r="J33" s="443"/>
    </row>
    <row r="34" spans="1:10" ht="23.25" customHeight="1">
      <c r="A34" s="460" t="s">
        <v>12</v>
      </c>
      <c r="B34" s="478" t="s">
        <v>135</v>
      </c>
      <c r="C34" s="436" t="s">
        <v>133</v>
      </c>
      <c r="D34" s="437"/>
      <c r="E34" s="479"/>
      <c r="F34" s="477"/>
      <c r="I34" s="443">
        <f t="shared" si="3"/>
        <v>0</v>
      </c>
      <c r="J34" s="443">
        <f t="shared" si="3"/>
        <v>0</v>
      </c>
    </row>
    <row r="35" spans="1:10" ht="23.25" customHeight="1">
      <c r="A35" s="455" t="s">
        <v>92</v>
      </c>
      <c r="B35" s="454" t="s">
        <v>136</v>
      </c>
      <c r="C35" s="480"/>
      <c r="D35" s="455"/>
      <c r="E35" s="456">
        <f>0.56*0.024</f>
        <v>0.013440000000000002</v>
      </c>
      <c r="F35" s="480"/>
      <c r="H35" s="429">
        <f>E35</f>
        <v>0.013440000000000002</v>
      </c>
      <c r="I35" s="443"/>
      <c r="J35" s="443"/>
    </row>
    <row r="36" spans="1:10" ht="23.25" customHeight="1">
      <c r="A36" s="481" t="s">
        <v>92</v>
      </c>
      <c r="B36" s="482" t="s">
        <v>137</v>
      </c>
      <c r="C36" s="483"/>
      <c r="D36" s="481"/>
      <c r="E36" s="484">
        <f>0.67*0.024</f>
        <v>0.01608</v>
      </c>
      <c r="F36" s="483"/>
      <c r="H36" s="429">
        <f>E36</f>
        <v>0.01608</v>
      </c>
      <c r="I36" s="443"/>
      <c r="J36" s="443"/>
    </row>
    <row r="37" spans="1:10" ht="25.5" customHeight="1">
      <c r="A37" s="460" t="s">
        <v>92</v>
      </c>
      <c r="B37" s="463" t="s">
        <v>138</v>
      </c>
      <c r="C37" s="436"/>
      <c r="D37" s="437"/>
      <c r="E37" s="479">
        <f>0.7*0.024</f>
        <v>0.0168</v>
      </c>
      <c r="F37" s="436"/>
      <c r="H37" s="429">
        <f>E37</f>
        <v>0.0168</v>
      </c>
      <c r="I37" s="443"/>
      <c r="J37" s="443"/>
    </row>
    <row r="38" spans="1:10" ht="10.5" customHeight="1">
      <c r="A38" s="437"/>
      <c r="B38" s="463"/>
      <c r="C38" s="442"/>
      <c r="D38" s="437"/>
      <c r="E38" s="485"/>
      <c r="F38" s="436"/>
      <c r="I38" s="443"/>
      <c r="J38" s="443"/>
    </row>
    <row r="39" spans="1:12" ht="45" customHeight="1">
      <c r="A39" s="486">
        <v>9</v>
      </c>
      <c r="B39" s="463" t="s">
        <v>90</v>
      </c>
      <c r="C39" s="442" t="s">
        <v>234</v>
      </c>
      <c r="D39" s="487"/>
      <c r="E39" s="488"/>
      <c r="F39" s="468"/>
      <c r="H39" s="429">
        <f>$E39*5</f>
        <v>0</v>
      </c>
      <c r="I39" s="443">
        <f>$E39*5</f>
        <v>0</v>
      </c>
      <c r="J39" s="443">
        <f>$E39*5</f>
        <v>0</v>
      </c>
      <c r="L39" s="428">
        <v>100</v>
      </c>
    </row>
    <row r="40" spans="1:10" ht="24.75" customHeight="1">
      <c r="A40" s="489" t="s">
        <v>92</v>
      </c>
      <c r="C40" s="467"/>
      <c r="D40" s="437" t="s">
        <v>21</v>
      </c>
      <c r="E40" s="444">
        <f>30/480</f>
        <v>0.0625</v>
      </c>
      <c r="F40" s="468"/>
      <c r="H40" s="429">
        <f aca="true" t="shared" si="4" ref="H40:H46">E40*5</f>
        <v>0.3125</v>
      </c>
      <c r="I40" s="443"/>
      <c r="J40" s="443"/>
    </row>
    <row r="41" spans="1:10" ht="24.75" customHeight="1">
      <c r="A41" s="489" t="s">
        <v>92</v>
      </c>
      <c r="B41" s="466"/>
      <c r="C41" s="467"/>
      <c r="D41" s="437" t="s">
        <v>19</v>
      </c>
      <c r="E41" s="444">
        <f>40/480</f>
        <v>0.08333333333333333</v>
      </c>
      <c r="F41" s="468"/>
      <c r="H41" s="429">
        <f t="shared" si="4"/>
        <v>0.41666666666666663</v>
      </c>
      <c r="I41" s="443"/>
      <c r="J41" s="443"/>
    </row>
    <row r="42" spans="1:10" ht="24.75" customHeight="1">
      <c r="A42" s="489" t="s">
        <v>92</v>
      </c>
      <c r="B42" s="466"/>
      <c r="C42" s="467"/>
      <c r="D42" s="437" t="s">
        <v>5</v>
      </c>
      <c r="E42" s="444">
        <f>50/480</f>
        <v>0.10416666666666667</v>
      </c>
      <c r="F42" s="468"/>
      <c r="H42" s="429">
        <f t="shared" si="4"/>
        <v>0.5208333333333334</v>
      </c>
      <c r="I42" s="443"/>
      <c r="J42" s="443"/>
    </row>
    <row r="43" spans="1:10" ht="24.75" customHeight="1">
      <c r="A43" s="489" t="s">
        <v>92</v>
      </c>
      <c r="B43" s="466"/>
      <c r="C43" s="467"/>
      <c r="D43" s="437" t="s">
        <v>16</v>
      </c>
      <c r="E43" s="444">
        <f>60/480</f>
        <v>0.125</v>
      </c>
      <c r="F43" s="468"/>
      <c r="H43" s="429">
        <f t="shared" si="4"/>
        <v>0.625</v>
      </c>
      <c r="I43" s="443"/>
      <c r="J43" s="443"/>
    </row>
    <row r="44" spans="1:10" ht="24.75" customHeight="1">
      <c r="A44" s="489" t="s">
        <v>92</v>
      </c>
      <c r="B44" s="466"/>
      <c r="C44" s="466"/>
      <c r="D44" s="437" t="s">
        <v>15</v>
      </c>
      <c r="E44" s="444">
        <f>80/480</f>
        <v>0.16666666666666666</v>
      </c>
      <c r="F44" s="468"/>
      <c r="H44" s="429">
        <f t="shared" si="4"/>
        <v>0.8333333333333333</v>
      </c>
      <c r="I44" s="443"/>
      <c r="J44" s="443"/>
    </row>
    <row r="45" spans="1:10" ht="24.75" customHeight="1">
      <c r="A45" s="490" t="s">
        <v>92</v>
      </c>
      <c r="B45" s="491"/>
      <c r="C45" s="491"/>
      <c r="D45" s="449" t="s">
        <v>14</v>
      </c>
      <c r="E45" s="452">
        <f>130/480</f>
        <v>0.2708333333333333</v>
      </c>
      <c r="F45" s="492"/>
      <c r="H45" s="429">
        <f t="shared" si="4"/>
        <v>1.3541666666666665</v>
      </c>
      <c r="I45" s="443"/>
      <c r="J45" s="443"/>
    </row>
    <row r="46" spans="1:10" ht="37.5" customHeight="1">
      <c r="A46" s="493">
        <v>10</v>
      </c>
      <c r="B46" s="448" t="s">
        <v>126</v>
      </c>
      <c r="C46" s="442" t="s">
        <v>234</v>
      </c>
      <c r="D46" s="449" t="s">
        <v>113</v>
      </c>
      <c r="E46" s="452">
        <v>0.02</v>
      </c>
      <c r="F46" s="451"/>
      <c r="H46" s="429">
        <f t="shared" si="4"/>
        <v>0.1</v>
      </c>
      <c r="I46" s="443"/>
      <c r="J46" s="443"/>
    </row>
    <row r="47" spans="1:8" ht="36.75" customHeight="1">
      <c r="A47" s="494">
        <v>11</v>
      </c>
      <c r="B47" s="495" t="s">
        <v>123</v>
      </c>
      <c r="C47" s="436"/>
      <c r="D47" s="449"/>
      <c r="E47" s="496">
        <f>SUM(E48:E51)</f>
        <v>0.12133333333333333</v>
      </c>
      <c r="F47" s="495"/>
      <c r="H47" s="429">
        <f>SUM(H48:H51)</f>
        <v>0.12133333333333333</v>
      </c>
    </row>
    <row r="48" spans="1:8" ht="27.75" customHeight="1">
      <c r="A48" s="497" t="s">
        <v>92</v>
      </c>
      <c r="B48" s="495" t="s">
        <v>143</v>
      </c>
      <c r="C48" s="436" t="s">
        <v>131</v>
      </c>
      <c r="D48" s="449" t="s">
        <v>113</v>
      </c>
      <c r="E48" s="438">
        <f>0.6/30</f>
        <v>0.02</v>
      </c>
      <c r="F48" s="495"/>
      <c r="H48" s="429">
        <f>E48</f>
        <v>0.02</v>
      </c>
    </row>
    <row r="49" spans="1:8" ht="36.75" customHeight="1">
      <c r="A49" s="497" t="s">
        <v>92</v>
      </c>
      <c r="B49" s="463" t="s">
        <v>144</v>
      </c>
      <c r="C49" s="436" t="s">
        <v>124</v>
      </c>
      <c r="D49" s="449" t="s">
        <v>113</v>
      </c>
      <c r="E49" s="438">
        <f>2.04/30</f>
        <v>0.068</v>
      </c>
      <c r="F49" s="495"/>
      <c r="H49" s="429">
        <f>E49</f>
        <v>0.068</v>
      </c>
    </row>
    <row r="50" spans="1:8" ht="33" customHeight="1">
      <c r="A50" s="497" t="s">
        <v>92</v>
      </c>
      <c r="B50" s="498" t="s">
        <v>127</v>
      </c>
      <c r="C50" s="436" t="s">
        <v>124</v>
      </c>
      <c r="D50" s="449" t="s">
        <v>113</v>
      </c>
      <c r="E50" s="438">
        <f>(0.5/30)</f>
        <v>0.016666666666666666</v>
      </c>
      <c r="F50" s="495"/>
      <c r="H50" s="429">
        <f>E50</f>
        <v>0.016666666666666666</v>
      </c>
    </row>
    <row r="51" spans="1:8" ht="36" customHeight="1">
      <c r="A51" s="497" t="s">
        <v>92</v>
      </c>
      <c r="B51" s="499" t="s">
        <v>125</v>
      </c>
      <c r="C51" s="442" t="s">
        <v>132</v>
      </c>
      <c r="D51" s="449" t="s">
        <v>113</v>
      </c>
      <c r="E51" s="500">
        <f>(0.5/30)</f>
        <v>0.016666666666666666</v>
      </c>
      <c r="F51" s="501"/>
      <c r="H51" s="429">
        <f>E51</f>
        <v>0.016666666666666666</v>
      </c>
    </row>
    <row r="52" spans="1:6" ht="12.75" customHeight="1">
      <c r="A52" s="502"/>
      <c r="B52" s="503"/>
      <c r="C52" s="504"/>
      <c r="D52" s="505"/>
      <c r="E52" s="506"/>
      <c r="F52" s="507"/>
    </row>
    <row r="53" spans="1:6" ht="27.75" customHeight="1">
      <c r="A53" s="508"/>
      <c r="B53" s="509" t="s">
        <v>140</v>
      </c>
      <c r="C53" s="510"/>
      <c r="D53" s="508" t="s">
        <v>21</v>
      </c>
      <c r="E53" s="511">
        <f aca="true" t="shared" si="5" ref="E53:E58">$H$6+$H$7+$H$8+H9+H16+H23+$H$31+H40+$H$46+$H$47+$H$36</f>
        <v>1.4833366666666667</v>
      </c>
      <c r="F53" s="512"/>
    </row>
    <row r="54" spans="1:6" ht="24.75" customHeight="1">
      <c r="A54" s="513"/>
      <c r="B54" s="465"/>
      <c r="C54" s="514"/>
      <c r="D54" s="513" t="s">
        <v>19</v>
      </c>
      <c r="E54" s="515">
        <f t="shared" si="5"/>
        <v>1.9382414285714287</v>
      </c>
      <c r="F54" s="516"/>
    </row>
    <row r="55" spans="1:6" ht="24.75" customHeight="1">
      <c r="A55" s="513"/>
      <c r="B55" s="465"/>
      <c r="C55" s="514"/>
      <c r="D55" s="513" t="s">
        <v>5</v>
      </c>
      <c r="E55" s="515">
        <f t="shared" si="5"/>
        <v>2.4012700000000002</v>
      </c>
      <c r="F55" s="516"/>
    </row>
    <row r="56" spans="1:6" ht="24.75" customHeight="1">
      <c r="A56" s="513"/>
      <c r="B56" s="465"/>
      <c r="C56" s="514"/>
      <c r="D56" s="513" t="s">
        <v>16</v>
      </c>
      <c r="E56" s="515">
        <f t="shared" si="5"/>
        <v>2.90119</v>
      </c>
      <c r="F56" s="516"/>
    </row>
    <row r="57" spans="1:6" ht="24.75" customHeight="1">
      <c r="A57" s="513"/>
      <c r="B57" s="465"/>
      <c r="C57" s="514"/>
      <c r="D57" s="513" t="s">
        <v>15</v>
      </c>
      <c r="E57" s="515">
        <f t="shared" si="5"/>
        <v>3.589336666666666</v>
      </c>
      <c r="F57" s="516"/>
    </row>
    <row r="58" spans="1:6" ht="24.75" customHeight="1">
      <c r="A58" s="513"/>
      <c r="B58" s="465"/>
      <c r="C58" s="514"/>
      <c r="D58" s="513" t="s">
        <v>14</v>
      </c>
      <c r="E58" s="515">
        <f t="shared" si="5"/>
        <v>4.435836666666666</v>
      </c>
      <c r="F58" s="516"/>
    </row>
    <row r="59" spans="1:9" ht="19.5" customHeight="1">
      <c r="A59" s="517"/>
      <c r="B59" s="518"/>
      <c r="C59" s="518"/>
      <c r="D59" s="518"/>
      <c r="E59" s="518"/>
      <c r="F59" s="518"/>
      <c r="I59" s="428" t="s">
        <v>122</v>
      </c>
    </row>
    <row r="60" spans="1:6" ht="19.5" customHeight="1">
      <c r="A60" s="519"/>
      <c r="B60" s="520"/>
      <c r="C60" s="520"/>
      <c r="D60" s="520"/>
      <c r="E60" s="520"/>
      <c r="F60" s="520"/>
    </row>
    <row r="61" spans="1:6" ht="19.5" customHeight="1">
      <c r="A61" s="519"/>
      <c r="B61" s="520"/>
      <c r="C61" s="520"/>
      <c r="D61" s="520"/>
      <c r="E61" s="520"/>
      <c r="F61" s="520"/>
    </row>
    <row r="62" spans="1:6" ht="19.5" customHeight="1">
      <c r="A62" s="519"/>
      <c r="B62" s="520"/>
      <c r="C62" s="520"/>
      <c r="D62" s="520"/>
      <c r="E62" s="520"/>
      <c r="F62" s="520"/>
    </row>
    <row r="63" spans="1:6" ht="19.5" customHeight="1">
      <c r="A63" s="519"/>
      <c r="B63" s="520"/>
      <c r="C63" s="520"/>
      <c r="D63" s="520"/>
      <c r="E63" s="520"/>
      <c r="F63" s="520"/>
    </row>
    <row r="64" spans="1:6" ht="19.5" customHeight="1">
      <c r="A64" s="519"/>
      <c r="B64" s="520"/>
      <c r="C64" s="520"/>
      <c r="D64" s="520"/>
      <c r="E64" s="520"/>
      <c r="F64" s="520"/>
    </row>
    <row r="65" spans="1:14" ht="19.5" customHeight="1">
      <c r="A65" s="521"/>
      <c r="B65" s="522"/>
      <c r="C65" s="522"/>
      <c r="D65" s="522"/>
      <c r="E65" s="522"/>
      <c r="F65" s="522"/>
      <c r="H65" s="429">
        <f aca="true" t="shared" si="6" ref="H65:H70">($H$6+$H$7+$H$8+H9+H16+H23+$H$31+$H$34+H40+$H$46+$H$47)</f>
        <v>1.4672566666666667</v>
      </c>
      <c r="J65" s="428">
        <f>0.58+1.48</f>
        <v>2.06</v>
      </c>
      <c r="L65" s="443">
        <f aca="true" t="shared" si="7" ref="L65:L70">H65/J65*100</f>
        <v>71.22605177993528</v>
      </c>
      <c r="N65" s="428">
        <f>H65*1.25</f>
        <v>1.8340708333333333</v>
      </c>
    </row>
    <row r="66" spans="1:12" ht="19.5" customHeight="1">
      <c r="A66" s="521"/>
      <c r="B66" s="522"/>
      <c r="C66" s="522"/>
      <c r="D66" s="522"/>
      <c r="E66" s="522"/>
      <c r="F66" s="522"/>
      <c r="G66" s="429">
        <f>H66-H65</f>
        <v>0.4549047619047619</v>
      </c>
      <c r="H66" s="429">
        <f t="shared" si="6"/>
        <v>1.9221614285714286</v>
      </c>
      <c r="I66" s="523">
        <f>J66-J65</f>
        <v>0.6999999999999997</v>
      </c>
      <c r="J66" s="428">
        <f>0.79+1.97</f>
        <v>2.76</v>
      </c>
      <c r="L66" s="443">
        <f t="shared" si="7"/>
        <v>69.64353002070393</v>
      </c>
    </row>
    <row r="67" spans="1:12" ht="19.5" customHeight="1">
      <c r="A67" s="521"/>
      <c r="B67" s="522"/>
      <c r="C67" s="522"/>
      <c r="D67" s="522"/>
      <c r="E67" s="522"/>
      <c r="F67" s="522"/>
      <c r="G67" s="429">
        <f>H67-H66</f>
        <v>0.46302857142857157</v>
      </c>
      <c r="H67" s="429">
        <f t="shared" si="6"/>
        <v>2.38519</v>
      </c>
      <c r="I67" s="523">
        <f>J67-J66</f>
        <v>0.7200000000000006</v>
      </c>
      <c r="J67" s="428">
        <f>1.01+2.47</f>
        <v>3.4800000000000004</v>
      </c>
      <c r="L67" s="443">
        <f t="shared" si="7"/>
        <v>68.53994252873564</v>
      </c>
    </row>
    <row r="68" spans="1:12" ht="19.5" customHeight="1">
      <c r="A68" s="521"/>
      <c r="B68" s="522"/>
      <c r="C68" s="522"/>
      <c r="D68" s="522"/>
      <c r="E68" s="522"/>
      <c r="F68" s="522"/>
      <c r="G68" s="429">
        <f>H68-H67</f>
        <v>0.4999199999999999</v>
      </c>
      <c r="H68" s="429">
        <f t="shared" si="6"/>
        <v>2.88511</v>
      </c>
      <c r="I68" s="523">
        <f>J68-J67</f>
        <v>0.7599999999999998</v>
      </c>
      <c r="J68" s="428">
        <f>1.16+3.08</f>
        <v>4.24</v>
      </c>
      <c r="L68" s="443">
        <f t="shared" si="7"/>
        <v>68.04504716981133</v>
      </c>
    </row>
    <row r="69" spans="1:12" ht="19.5" customHeight="1">
      <c r="A69" s="521"/>
      <c r="B69" s="522"/>
      <c r="C69" s="522"/>
      <c r="D69" s="522"/>
      <c r="E69" s="522"/>
      <c r="F69" s="522"/>
      <c r="G69" s="429">
        <f>H69-H68</f>
        <v>0.688146666666666</v>
      </c>
      <c r="H69" s="429">
        <f t="shared" si="6"/>
        <v>3.573256666666666</v>
      </c>
      <c r="I69" s="523">
        <f>J69-J68</f>
        <v>0.9000000000000004</v>
      </c>
      <c r="J69" s="428">
        <f>1.44+3.7</f>
        <v>5.140000000000001</v>
      </c>
      <c r="L69" s="443">
        <f t="shared" si="7"/>
        <v>69.51861219195847</v>
      </c>
    </row>
    <row r="70" spans="1:12" ht="19.5" customHeight="1">
      <c r="A70" s="521"/>
      <c r="B70" s="522"/>
      <c r="C70" s="522"/>
      <c r="D70" s="522"/>
      <c r="E70" s="522"/>
      <c r="F70" s="522"/>
      <c r="G70" s="429">
        <f>H70-H69</f>
        <v>0.8465000000000003</v>
      </c>
      <c r="H70" s="429">
        <f t="shared" si="6"/>
        <v>4.419756666666666</v>
      </c>
      <c r="I70" s="523">
        <f>J70-J69</f>
        <v>1</v>
      </c>
      <c r="J70" s="428">
        <f>1.61+4.53</f>
        <v>6.140000000000001</v>
      </c>
      <c r="L70" s="443">
        <f t="shared" si="7"/>
        <v>71.9830076004343</v>
      </c>
    </row>
    <row r="71" spans="1:6" ht="19.5" customHeight="1">
      <c r="A71" s="521"/>
      <c r="B71" s="522"/>
      <c r="C71" s="522"/>
      <c r="D71" s="522"/>
      <c r="E71" s="522"/>
      <c r="F71" s="522"/>
    </row>
    <row r="72" spans="1:6" ht="19.5" customHeight="1">
      <c r="A72" s="521"/>
      <c r="B72" s="522"/>
      <c r="C72" s="522"/>
      <c r="D72" s="522"/>
      <c r="E72" s="522"/>
      <c r="F72" s="522"/>
    </row>
    <row r="73" spans="1:6" ht="19.5" customHeight="1">
      <c r="A73" s="521"/>
      <c r="B73" s="522"/>
      <c r="C73" s="522"/>
      <c r="D73" s="522"/>
      <c r="E73" s="522"/>
      <c r="F73" s="522"/>
    </row>
    <row r="74" spans="1:6" ht="16.5">
      <c r="A74" s="521"/>
      <c r="B74" s="522"/>
      <c r="C74" s="522"/>
      <c r="D74" s="522"/>
      <c r="E74" s="522"/>
      <c r="F74" s="522"/>
    </row>
  </sheetData>
  <sheetProtection/>
  <mergeCells count="8">
    <mergeCell ref="E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1.141732283464567" right="0.7480314960629921" top="0.5511811023622047" bottom="0.7480314960629921" header="0.5118110236220472" footer="0.5118110236220472"/>
  <pageSetup firstPageNumber="24" useFirstPageNumber="1" horizontalDpi="600" verticalDpi="600" orientation="landscape" paperSize="9" r:id="rId1"/>
  <headerFooter alignWithMargins="0">
    <oddFooter>&amp;CTrang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PageLayoutView="0" workbookViewId="0" topLeftCell="A10">
      <selection activeCell="G9" sqref="G9"/>
    </sheetView>
  </sheetViews>
  <sheetFormatPr defaultColWidth="8.72265625" defaultRowHeight="16.5"/>
  <cols>
    <col min="1" max="1" width="4.453125" style="127" customWidth="1"/>
    <col min="2" max="2" width="17.0859375" style="3" customWidth="1"/>
    <col min="3" max="3" width="6.8125" style="3" customWidth="1"/>
    <col min="4" max="4" width="14.453125" style="3" customWidth="1"/>
    <col min="5" max="5" width="14.36328125" style="3" customWidth="1"/>
    <col min="6" max="6" width="12.90625" style="3" customWidth="1"/>
    <col min="7" max="7" width="12.6328125" style="3" customWidth="1"/>
    <col min="8" max="8" width="12.453125" style="3" customWidth="1"/>
    <col min="9" max="16384" width="8.90625" style="3" customWidth="1"/>
  </cols>
  <sheetData>
    <row r="1" ht="20.25" customHeight="1">
      <c r="H1" s="228" t="s">
        <v>217</v>
      </c>
    </row>
    <row r="2" spans="1:8" ht="21" customHeight="1">
      <c r="A2" s="591" t="s">
        <v>219</v>
      </c>
      <c r="B2" s="591"/>
      <c r="C2" s="591"/>
      <c r="D2" s="591"/>
      <c r="E2" s="591"/>
      <c r="F2" s="591"/>
      <c r="G2" s="591"/>
      <c r="H2" s="591"/>
    </row>
    <row r="3" spans="1:4" ht="21" customHeight="1">
      <c r="A3" s="145"/>
      <c r="B3" s="146"/>
      <c r="C3" s="147"/>
      <c r="D3" s="147"/>
    </row>
    <row r="4" spans="1:8" ht="16.5" customHeight="1">
      <c r="A4" s="557" t="s">
        <v>147</v>
      </c>
      <c r="B4" s="558" t="s">
        <v>148</v>
      </c>
      <c r="C4" s="558" t="s">
        <v>3</v>
      </c>
      <c r="D4" s="551" t="s">
        <v>220</v>
      </c>
      <c r="E4" s="551" t="s">
        <v>221</v>
      </c>
      <c r="F4" s="551" t="s">
        <v>241</v>
      </c>
      <c r="G4" s="551" t="s">
        <v>243</v>
      </c>
      <c r="H4" s="562" t="s">
        <v>222</v>
      </c>
    </row>
    <row r="5" spans="1:8" ht="51" customHeight="1">
      <c r="A5" s="557"/>
      <c r="B5" s="558"/>
      <c r="C5" s="558"/>
      <c r="D5" s="553"/>
      <c r="E5" s="553"/>
      <c r="F5" s="553"/>
      <c r="G5" s="553"/>
      <c r="H5" s="564"/>
    </row>
    <row r="6" spans="1:8" ht="24.75" customHeight="1">
      <c r="A6" s="164">
        <v>1</v>
      </c>
      <c r="B6" s="165" t="s">
        <v>171</v>
      </c>
      <c r="C6" s="153" t="s">
        <v>156</v>
      </c>
      <c r="D6" s="167"/>
      <c r="E6" s="154"/>
      <c r="F6" s="133">
        <f>'[2]DUNGCU'!E8</f>
        <v>0.07</v>
      </c>
      <c r="G6" s="133">
        <v>0.05</v>
      </c>
      <c r="H6" s="133"/>
    </row>
    <row r="7" spans="1:8" ht="24.75" customHeight="1">
      <c r="A7" s="164">
        <v>2</v>
      </c>
      <c r="B7" s="152" t="s">
        <v>172</v>
      </c>
      <c r="C7" s="153" t="s">
        <v>156</v>
      </c>
      <c r="D7" s="167"/>
      <c r="E7" s="154"/>
      <c r="F7" s="133">
        <f>'[2]DUNGCU'!E9</f>
        <v>0.07</v>
      </c>
      <c r="G7" s="133">
        <v>0.05</v>
      </c>
      <c r="H7" s="133"/>
    </row>
    <row r="8" spans="1:8" ht="24.75" customHeight="1">
      <c r="A8" s="164">
        <v>3</v>
      </c>
      <c r="B8" s="150" t="s">
        <v>173</v>
      </c>
      <c r="C8" s="153" t="s">
        <v>156</v>
      </c>
      <c r="D8" s="167"/>
      <c r="E8" s="154"/>
      <c r="F8" s="133">
        <f>'[2]DUNGCU'!E10</f>
        <v>0.07</v>
      </c>
      <c r="G8" s="133">
        <v>0.05</v>
      </c>
      <c r="H8" s="133"/>
    </row>
    <row r="9" spans="1:8" ht="24.75" customHeight="1">
      <c r="A9" s="164">
        <v>4</v>
      </c>
      <c r="B9" s="165" t="s">
        <v>174</v>
      </c>
      <c r="C9" s="153" t="s">
        <v>156</v>
      </c>
      <c r="D9" s="167"/>
      <c r="E9" s="173">
        <v>0.07</v>
      </c>
      <c r="F9" s="133">
        <f>'[2]DUNGCU'!E11</f>
        <v>0.07</v>
      </c>
      <c r="G9" s="133">
        <v>0.05</v>
      </c>
      <c r="H9" s="133"/>
    </row>
    <row r="10" spans="1:8" ht="24.75" customHeight="1">
      <c r="A10" s="164">
        <v>5</v>
      </c>
      <c r="B10" s="165" t="s">
        <v>180</v>
      </c>
      <c r="C10" s="153" t="s">
        <v>182</v>
      </c>
      <c r="D10" s="173">
        <f>9.8/30</f>
        <v>0.3266666666666667</v>
      </c>
      <c r="E10" s="173">
        <f>9.8/30*2</f>
        <v>0.6533333333333334</v>
      </c>
      <c r="F10" s="154"/>
      <c r="G10" s="154"/>
      <c r="H10" s="173">
        <f>E10/3</f>
        <v>0.21777777777777782</v>
      </c>
    </row>
    <row r="11" spans="1:8" ht="24.75" customHeight="1">
      <c r="A11" s="164">
        <v>6</v>
      </c>
      <c r="B11" s="165" t="s">
        <v>181</v>
      </c>
      <c r="C11" s="153" t="s">
        <v>156</v>
      </c>
      <c r="D11" s="173">
        <f>D10</f>
        <v>0.3266666666666667</v>
      </c>
      <c r="E11" s="173">
        <f>9.8/30*2</f>
        <v>0.6533333333333334</v>
      </c>
      <c r="F11" s="154"/>
      <c r="G11" s="154"/>
      <c r="H11" s="173">
        <f>E11/3</f>
        <v>0.21777777777777782</v>
      </c>
    </row>
    <row r="12" spans="1:8" ht="24.75" customHeight="1">
      <c r="A12" s="164">
        <v>7</v>
      </c>
      <c r="B12" s="157" t="s">
        <v>183</v>
      </c>
      <c r="C12" s="156" t="s">
        <v>156</v>
      </c>
      <c r="D12" s="204">
        <f>1.96/30</f>
        <v>0.06533333333333333</v>
      </c>
      <c r="E12" s="173">
        <f>1.96/30*2</f>
        <v>0.13066666666666665</v>
      </c>
      <c r="F12" s="157"/>
      <c r="G12" s="157"/>
      <c r="H12" s="173">
        <f>E12/3</f>
        <v>0.04355555555555555</v>
      </c>
    </row>
    <row r="13" spans="1:8" ht="24.75" customHeight="1">
      <c r="A13" s="174">
        <v>8</v>
      </c>
      <c r="B13" s="160" t="s">
        <v>184</v>
      </c>
      <c r="C13" s="159" t="s">
        <v>156</v>
      </c>
      <c r="D13" s="205">
        <v>0.03</v>
      </c>
      <c r="E13" s="160">
        <f>0.03*2</f>
        <v>0.06</v>
      </c>
      <c r="F13" s="160"/>
      <c r="G13" s="160"/>
      <c r="H13" s="173">
        <f>E13/3</f>
        <v>0.02</v>
      </c>
    </row>
    <row r="14" spans="1:8" ht="24.75" customHeight="1">
      <c r="A14" s="164">
        <v>9</v>
      </c>
      <c r="B14" s="178" t="s">
        <v>185</v>
      </c>
      <c r="C14" s="177" t="s">
        <v>186</v>
      </c>
      <c r="D14" s="205">
        <f>1.96/30</f>
        <v>0.06533333333333333</v>
      </c>
      <c r="E14" s="173">
        <f>1.96/30*2</f>
        <v>0.13066666666666665</v>
      </c>
      <c r="F14" s="177"/>
      <c r="G14" s="177"/>
      <c r="H14" s="173">
        <f>E14/3</f>
        <v>0.04355555555555555</v>
      </c>
    </row>
    <row r="15" spans="1:8" ht="24.75" customHeight="1">
      <c r="A15" s="141"/>
      <c r="B15" s="142"/>
      <c r="C15" s="141"/>
      <c r="D15" s="143"/>
      <c r="E15" s="172"/>
      <c r="F15" s="171"/>
      <c r="G15" s="171"/>
      <c r="H15" s="171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1.1023622047244095" right="0.6299212598425197" top="0.7480314960629921" bottom="0.7480314960629921" header="0.31496062992125984" footer="0.31496062992125984"/>
  <pageSetup firstPageNumber="28" useFirstPageNumber="1" horizontalDpi="600" verticalDpi="600" orientation="landscape" paperSize="9" r:id="rId1"/>
  <headerFooter alignWithMargins="0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TRUNG TAM KY THUAT TN&amp;MT QUANG 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 TUAN</dc:creator>
  <cp:keywords/>
  <dc:description/>
  <cp:lastModifiedBy>Welcome</cp:lastModifiedBy>
  <cp:lastPrinted>2017-09-26T01:08:11Z</cp:lastPrinted>
  <dcterms:created xsi:type="dcterms:W3CDTF">2007-03-22T14:02:47Z</dcterms:created>
  <dcterms:modified xsi:type="dcterms:W3CDTF">2017-10-13T07:16:23Z</dcterms:modified>
  <cp:category/>
  <cp:version/>
  <cp:contentType/>
  <cp:contentStatus/>
</cp:coreProperties>
</file>