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0"/>
  </bookViews>
  <sheets>
    <sheet name="PhulucI" sheetId="1" r:id="rId1"/>
    <sheet name="PhulucII" sheetId="2" r:id="rId2"/>
    <sheet name="PhulucIII" sheetId="3" r:id="rId3"/>
    <sheet name="PhulucIII.3" sheetId="4" r:id="rId4"/>
    <sheet name="PhulucIV" sheetId="5" r:id="rId5"/>
    <sheet name="PhulucV" sheetId="6" r:id="rId6"/>
    <sheet name="PhulucVI" sheetId="7" r:id="rId7"/>
    <sheet name="PhulucVII" sheetId="8" r:id="rId8"/>
    <sheet name="PhulucVIII" sheetId="9" r:id="rId9"/>
    <sheet name="PhulucIX" sheetId="10" r:id="rId10"/>
    <sheet name="PhulucX" sheetId="11" r:id="rId11"/>
  </sheets>
  <definedNames>
    <definedName name="_xlnm.Print_Area" localSheetId="7">'PhulucVII'!$A$1:$P$98</definedName>
    <definedName name="_xlnm.Print_Titles" localSheetId="9">'PhulucIX'!$5:$7</definedName>
    <definedName name="_xlnm.Print_Titles" localSheetId="5">'PhulucV'!$3:$4</definedName>
    <definedName name="_xlnm.Print_Titles" localSheetId="8">'PhulucVIII'!$4:$4</definedName>
    <definedName name="_xlnm.Print_Titles" localSheetId="10">'PhulucX'!$5:$5</definedName>
  </definedNames>
  <calcPr fullCalcOnLoad="1"/>
</workbook>
</file>

<file path=xl/sharedStrings.xml><?xml version="1.0" encoding="utf-8"?>
<sst xmlns="http://schemas.openxmlformats.org/spreadsheetml/2006/main" count="1142" uniqueCount="269">
  <si>
    <t>Tên trường</t>
  </si>
  <si>
    <t>Năm học 2014 - 2015</t>
  </si>
  <si>
    <t>Toàn trường</t>
  </si>
  <si>
    <t>Trong đó</t>
  </si>
  <si>
    <t>Số lớp</t>
  </si>
  <si>
    <t>Số HS</t>
  </si>
  <si>
    <t>Số HS bán trú</t>
  </si>
  <si>
    <t>Cấp Tiểu học</t>
  </si>
  <si>
    <t>Cấp THCS</t>
  </si>
  <si>
    <t xml:space="preserve">Số lớp </t>
  </si>
  <si>
    <t>TT</t>
  </si>
  <si>
    <r>
      <t xml:space="preserve">Kinh phí hỗ trợ cho học sinh bán trú </t>
    </r>
    <r>
      <rPr>
        <sz val="11"/>
        <rFont val="Times New Roman"/>
        <family val="1"/>
      </rPr>
      <t>(1000 đồng)</t>
    </r>
  </si>
  <si>
    <t>Biểu 1: Số liệu bán trú năm học 2014 - 2015</t>
  </si>
  <si>
    <t>Biểu 1: Số liệu nội trú năm học 2014 - 2015</t>
  </si>
  <si>
    <t>Số HS nội trú</t>
  </si>
  <si>
    <r>
      <t xml:space="preserve">Kinh phí hỗ trợ cho học sinh nội trú </t>
    </r>
    <r>
      <rPr>
        <sz val="11"/>
        <rFont val="Times New Roman"/>
        <family val="1"/>
      </rPr>
      <t>(1000 đồng)</t>
    </r>
  </si>
  <si>
    <t>Biểu 2: Số liệu nội trú năm học 2015 - 2016</t>
  </si>
  <si>
    <t>Năm học 2015 - 2016</t>
  </si>
  <si>
    <t>Biểu 3: Số liệu nội trú năm học 2016 - 2017</t>
  </si>
  <si>
    <t>Năm học 2016 - 2017</t>
  </si>
  <si>
    <t>Biểu 2: Số liệu bán trú năm học 2015 - 2016</t>
  </si>
  <si>
    <t>Biểu 3: Số liệu bán trú năm học 2016 - 2017</t>
  </si>
  <si>
    <t>Số HS bán trú dân nuôi</t>
  </si>
  <si>
    <r>
      <t xml:space="preserve">Kinh phí hỗ trợ tiền ăn, tiền ở cho học sinh </t>
    </r>
    <r>
      <rPr>
        <sz val="11"/>
        <rFont val="Times New Roman"/>
        <family val="1"/>
      </rPr>
      <t>(1000 đồng)</t>
    </r>
  </si>
  <si>
    <t>Tổng số biên chế hiện có</t>
  </si>
  <si>
    <t>hiệu</t>
  </si>
  <si>
    <t>Tổng PT Đội</t>
  </si>
  <si>
    <t>Ban giám hiệu</t>
  </si>
  <si>
    <t>Số GV dạy Tiểu học</t>
  </si>
  <si>
    <t>Số GV dạy THCS</t>
  </si>
  <si>
    <t>Thư viện</t>
  </si>
  <si>
    <t>Thiết bị thí nghiệm</t>
  </si>
  <si>
    <t>Công nghệ thông tin</t>
  </si>
  <si>
    <t>Kế toán</t>
  </si>
  <si>
    <t>Thủ quỹ, văn thư</t>
  </si>
  <si>
    <t>Y tế</t>
  </si>
  <si>
    <t>Hỗ trợ GD khuyết tật</t>
  </si>
  <si>
    <t>Giáo vụ</t>
  </si>
  <si>
    <t>Số viên chức hỗ trợ phục vụ</t>
  </si>
  <si>
    <t>Kinh phí chi trả phụ cấp cho CBGV</t>
  </si>
  <si>
    <t>I</t>
  </si>
  <si>
    <t>..</t>
  </si>
  <si>
    <t xml:space="preserve">Số lượng các loại phòng hoặc công trình phụ trợ hiện có </t>
  </si>
  <si>
    <t>Nhà để xe</t>
  </si>
  <si>
    <t>Nhà nội trú</t>
  </si>
  <si>
    <t>Nhà ăn</t>
  </si>
  <si>
    <t>Nhà bếp</t>
  </si>
  <si>
    <t>Nhà tắm</t>
  </si>
  <si>
    <t>Nhà vệ sinh</t>
  </si>
  <si>
    <t>Sân chơi bãi tập</t>
  </si>
  <si>
    <t>P. thực hành hoặc bộ môn</t>
  </si>
  <si>
    <r>
      <t>Diện tích (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) các hạng mục phụ trợ</t>
    </r>
  </si>
  <si>
    <t>Biểu 1: Số lượng các loại phòng hoặc công trình phụ trợ</t>
  </si>
  <si>
    <t>TiVi</t>
  </si>
  <si>
    <t>Máy tính</t>
  </si>
  <si>
    <t>Projector</t>
  </si>
  <si>
    <t>Mạng internet</t>
  </si>
  <si>
    <t>Số bộ bàn ghế dùng học bài</t>
  </si>
  <si>
    <t>Giường tầng</t>
  </si>
  <si>
    <t>Giường đơn</t>
  </si>
  <si>
    <t>Số bộ bàn ghế ăn</t>
  </si>
  <si>
    <t>Tủ lạnh</t>
  </si>
  <si>
    <t>Phòng Phó Hiệu trưởng</t>
  </si>
  <si>
    <t>Phòng Hiệu trưởng</t>
  </si>
  <si>
    <t>Phòng Kế toán</t>
  </si>
  <si>
    <t>Phòng Y tế</t>
  </si>
  <si>
    <t>Phòng học Văn hóa</t>
  </si>
  <si>
    <t>Phòng thiết bị</t>
  </si>
  <si>
    <t>Phòng Thư viện</t>
  </si>
  <si>
    <t>Số bộ bàn ghế phòng học</t>
  </si>
  <si>
    <t>Số bộ đồ dùng bếp ăn cho học sinh</t>
  </si>
  <si>
    <t>Bàn bóng bàn</t>
  </si>
  <si>
    <t>Sân cầu lông</t>
  </si>
  <si>
    <t>Sân tập TDTT</t>
  </si>
  <si>
    <t>Sân bóng chuyền, bóng đá</t>
  </si>
  <si>
    <t>Số bộ sách giáo khoa dùng chung</t>
  </si>
  <si>
    <t>Số bộ thiết bị dạy học các môn</t>
  </si>
  <si>
    <t>Tổng số HS</t>
  </si>
  <si>
    <t>Tên trường (năm thành lập)</t>
  </si>
  <si>
    <t>Số HS nội trú, bán trú</t>
  </si>
  <si>
    <t>Năm học 2019-2020</t>
  </si>
  <si>
    <t>Năm học 2020-2021</t>
  </si>
  <si>
    <t>Tổng cộng</t>
  </si>
  <si>
    <t>Kinh phí</t>
  </si>
  <si>
    <t>PHỤ LỤC VI.  NHU CẦU KINH PHÍ GIẢI QUYẾT CHẾ ĐỘ CHÍNH SÁCH CHO HỌC SINH, GIÁO VIÊN</t>
  </si>
  <si>
    <t>Biểu 1. Nhu cầu Kinh phí hỗ trợ cho học sinh Nội trú theo Thông tư liên tịch 109/2009/TTLT/BTC-BGDĐT, hỗ trợ học sinh bán trú theo Nghị định 116/2016/NĐ-CP</t>
  </si>
  <si>
    <t>ĐVT: 1000 đồng</t>
  </si>
  <si>
    <t>Biểu 2. Nhu cầu Kinh phí chi phụ cấp trách nhiệm cho Cán bộ, Giáo viên, nhân viên theo Nghị định 61/2006/NĐ-CP</t>
  </si>
  <si>
    <t>Số người được hưởng</t>
  </si>
  <si>
    <t xml:space="preserve">PHỤ LỤC VII.  NHU CẦU TĂNG THÊM CÁC LOẠI BIÊN CHẾ </t>
  </si>
  <si>
    <t>Số lượt HS</t>
  </si>
  <si>
    <t>Thành tiền (triệu đồng)</t>
  </si>
  <si>
    <t>18=3+5+7+9+11+13+15+17</t>
  </si>
  <si>
    <t>Phòng học (500tr/ phòng)</t>
  </si>
  <si>
    <t>Phòng hiệu bộ (400tr/ phòng)</t>
  </si>
  <si>
    <t>Phòng chức năng của HC (300tr/ phòng)</t>
  </si>
  <si>
    <t>Phòng thực hành, BM (600tr/ phòng)</t>
  </si>
  <si>
    <t>Nhà bếp (300tr/ phòng)</t>
  </si>
  <si>
    <t>Nhà ăn (400tr/ phòng)</t>
  </si>
  <si>
    <t>Nước sạch, nhà vệ sinh, nhà tắm (350tr/ công trình)</t>
  </si>
  <si>
    <t>Tổng nhu cầu kinh phí cho mỗi trường (triệu đồng)</t>
  </si>
  <si>
    <t>PHỤ LỤC IX. NHU CẦU KINH PHÍ MUA SẮM BỔ SUNG CÁC TRANG THIẾT BỊ CẦN THIẾT</t>
  </si>
  <si>
    <t>Số lượng mua sắm (bộ/cái/…)</t>
  </si>
  <si>
    <t>Dụng cụ bóng chuyền</t>
  </si>
  <si>
    <t>Dụng cụ bóng đá</t>
  </si>
  <si>
    <t>Dụng cụ cầu lông</t>
  </si>
  <si>
    <t>Dụng cụ bóng bàn</t>
  </si>
  <si>
    <t>Dụng cụ đá cầu</t>
  </si>
  <si>
    <t>Dụng cụ đánh cá</t>
  </si>
  <si>
    <t>Dụng cụ làm vườn</t>
  </si>
  <si>
    <t>CHO CÁC TRƯỜNG PHỔ THÔNG DÂN TỘC NỘI TRÚ, BÁN TRÚ ĐẾN NĂM 2020</t>
  </si>
  <si>
    <t>Số bộ sách dùng chung</t>
  </si>
  <si>
    <t>Cộng</t>
  </si>
  <si>
    <t>Bộ thiết bị dạy học</t>
  </si>
  <si>
    <t>Năm</t>
  </si>
  <si>
    <t>Nội dung</t>
  </si>
  <si>
    <t>Kinh phí đầu tư</t>
  </si>
  <si>
    <t>Biểu 1: Nhu cầu biên chế tăng thêm</t>
  </si>
  <si>
    <t>Đơn vị tính: 1000đồng</t>
  </si>
  <si>
    <t>Tổng nhu cầu tiền lương tăng thêm</t>
  </si>
  <si>
    <t>Số kinh phí cấp dưỡng</t>
  </si>
  <si>
    <t>Biểu 2: Nhu cầu tiền lương của số lao động tăng thêm</t>
  </si>
  <si>
    <t>Viên chức hỗ trợ phục vụ</t>
  </si>
  <si>
    <t xml:space="preserve"> GV dạy Tiểu học</t>
  </si>
  <si>
    <t>GV dạy THCS</t>
  </si>
  <si>
    <t>Phụ cấp GV nội trú, bán trú</t>
  </si>
  <si>
    <t>Nhu cầu tiền lương lao động tăng thêm</t>
  </si>
  <si>
    <t>Xây dựng CSVC</t>
  </si>
  <si>
    <t>Mua sắm trang thiết bị</t>
  </si>
  <si>
    <t>Ghi chú (số lao động hợp đồng nếu có)</t>
  </si>
  <si>
    <t>PTDT Nội trú Vĩnh Linh</t>
  </si>
  <si>
    <t>Huyện Vĩnh Linh</t>
  </si>
  <si>
    <t>Trường TH Vĩnh Ô</t>
  </si>
  <si>
    <t>Trường TH Vĩnh Hà</t>
  </si>
  <si>
    <t>Trường TH Vĩnh Khê</t>
  </si>
  <si>
    <t>PTDT Nội trú  Vĩnh Linh</t>
  </si>
  <si>
    <t>PTDTBT TH Vĩnh Ô</t>
  </si>
  <si>
    <t>Trường PTDT Nội trú Vĩnh Linh (1960)</t>
  </si>
  <si>
    <t xml:space="preserve">Trường PTDT Nội trú Vĩnh Linh </t>
  </si>
  <si>
    <t xml:space="preserve">Trường PTDTBT Vĩnh Ô </t>
  </si>
  <si>
    <t xml:space="preserve">Trường PTDTBT Vĩnh Hà </t>
  </si>
  <si>
    <t xml:space="preserve">Trường PTDTBT Vĩnh Khê </t>
  </si>
  <si>
    <t>Trường PTDT Nội trú Gio Linh</t>
  </si>
  <si>
    <t>Huyện GIO LINH</t>
  </si>
  <si>
    <t>Trường TH Vĩnh Trường</t>
  </si>
  <si>
    <t>Trường THCS Linh Thượng</t>
  </si>
  <si>
    <t>Trường PTDTNT Gio Linh</t>
  </si>
  <si>
    <t>Trường PTDTBT Linh Thượng</t>
  </si>
  <si>
    <t>Huyện Gio Linh</t>
  </si>
  <si>
    <t>Trường PTDT Nội trú Tỉnh</t>
  </si>
  <si>
    <t>Số GV dạy THCS, THPT</t>
  </si>
  <si>
    <t>Trường PTDT Nội trú Tỉnh (1986)</t>
  </si>
  <si>
    <t>Huyện Đakrông</t>
  </si>
  <si>
    <t>Trường PTDT Nội trú Đakrông</t>
  </si>
  <si>
    <t>Trường PTDTBTTHCS Tà Long</t>
  </si>
  <si>
    <t>Trường PTDT BT THCS Pa Nang</t>
  </si>
  <si>
    <t xml:space="preserve">Huyện Đakrông </t>
  </si>
  <si>
    <t>Trường PTDTBT THCS Pa Nang</t>
  </si>
  <si>
    <t>Trường PTDTBT THCS Tà Long</t>
  </si>
  <si>
    <t>Trường PTDTTB THCS Pa Nang</t>
  </si>
  <si>
    <t>TH&amp;THCS A Ngo</t>
  </si>
  <si>
    <t>TH&amp;THCS Mò Ó</t>
  </si>
  <si>
    <t>THCS Hướng Hiệp</t>
  </si>
  <si>
    <t>Trường PTDTNT Đakrông</t>
  </si>
  <si>
    <t>Trường PTDTNTĐakrông</t>
  </si>
  <si>
    <t>Trường PTDTBT THCS A Vao</t>
  </si>
  <si>
    <t>Trường TH&amp;THCS Húc Nghì</t>
  </si>
  <si>
    <t>Trường TH&amp;THCS A Ngo</t>
  </si>
  <si>
    <t>Trường THCS Đakrông</t>
  </si>
  <si>
    <t>Trường THCS Hướng Hiệp</t>
  </si>
  <si>
    <t>Trường TH&amp;THCS Mo Ó</t>
  </si>
  <si>
    <t>Trường PTDTBT THCS A Vao (2019)</t>
  </si>
  <si>
    <t>Trường PTDTBT Tà Long</t>
  </si>
  <si>
    <t>PTDT Nội trú Hướng Hóa</t>
  </si>
  <si>
    <t xml:space="preserve"> PTDT Nội trú Hướng Hóa</t>
  </si>
  <si>
    <t>Cấp THPT</t>
  </si>
  <si>
    <t>Trường PTDTBTTHCS Hướng Phùng</t>
  </si>
  <si>
    <t>Trường PTDTBTTH&amp;THCS Hướng Sơn</t>
  </si>
  <si>
    <t>Trường PTDTBTTH&amp;THCS Hướng Lập</t>
  </si>
  <si>
    <t>Trường PTDT BT TH&amp;THCS Hướng Lộc</t>
  </si>
  <si>
    <t>Huyện Hướng Hóa</t>
  </si>
  <si>
    <t>Trường THCS Hướng Linh</t>
  </si>
  <si>
    <t>Trường TH&amp;THCS Ba Tầng</t>
  </si>
  <si>
    <t>Trường THCS Húc</t>
  </si>
  <si>
    <t>Trường  THCS Thanh</t>
  </si>
  <si>
    <t>Trường PTDTBTTHCS Hướng Phùng ( 2015)</t>
  </si>
  <si>
    <t>Trường PTDTBTTH&amp;THCS Hướng Sơn ( 2014)</t>
  </si>
  <si>
    <t>Trường PTDTBTTH&amp;THCS Hướng Lập ( 2014)</t>
  </si>
  <si>
    <t>Trường PTDTBTTH&amp;THCS Hướng Lộc ( 2014)</t>
  </si>
  <si>
    <t>Trường PTDTBTTHCS Hướng Linh ( 2018)</t>
  </si>
  <si>
    <t>Trường PTDT BTTH&amp;THCS Ba Tầng ( 2018)</t>
  </si>
  <si>
    <t>Trường PTDTBT THCS Húc ( 2019)</t>
  </si>
  <si>
    <t>Trường PTDT BTTHCS Thanh  ( 2020)</t>
  </si>
  <si>
    <t>II</t>
  </si>
  <si>
    <t>III</t>
  </si>
  <si>
    <t>IV</t>
  </si>
  <si>
    <t>Trong đó: Học sinh trường nội trú</t>
  </si>
  <si>
    <t xml:space="preserve">                Học sinh trường bán trú</t>
  </si>
  <si>
    <t>Trường PTDT BTTHCS Hướng Phùng</t>
  </si>
  <si>
    <t>Trường PTDT BTTH&amp;THCS Hướng Lập</t>
  </si>
  <si>
    <t>Trường PTDTBTTH&amp;THCS Hướng Lộc</t>
  </si>
  <si>
    <t>Trường PTDT Bán  trú THCS Hướng Linh</t>
  </si>
  <si>
    <t>Trường PTDT Bán  trú TH&amp;THCS Ba Tầng</t>
  </si>
  <si>
    <t>Trường PTDT Bán  trú THCS Húc</t>
  </si>
  <si>
    <t>Trường PTDT Bán  trú THCS Thanh</t>
  </si>
  <si>
    <t>Trong đó: Các trường Nội trú</t>
  </si>
  <si>
    <t xml:space="preserve">                 Các trường Bán trú</t>
  </si>
  <si>
    <t>Văn phòng</t>
  </si>
  <si>
    <t>V</t>
  </si>
  <si>
    <t>Trường PTDTBT Vĩnh Trường</t>
  </si>
  <si>
    <t>Năm học 2021-2022</t>
  </si>
  <si>
    <t>Biểu 3: Thống kê đội ngũ hiện có năm học 2017-2018 tại các trường học</t>
  </si>
  <si>
    <t>Số học sinh Tiểu học</t>
  </si>
  <si>
    <t>Số lớp Tiểu học</t>
  </si>
  <si>
    <t>Số học sinh THCS/ THPT</t>
  </si>
  <si>
    <t>Số lớp THCS/ THPT</t>
  </si>
  <si>
    <t>Trường TH&amp;THCS A Vao</t>
  </si>
  <si>
    <t>PTDTBTTHCS Hướng Phùng</t>
  </si>
  <si>
    <t>PTDTBTTH&amp;THCS Hướng Sơn</t>
  </si>
  <si>
    <t>PTDTBTTH&amp;THCS Hướng Lập</t>
  </si>
  <si>
    <t>PTDTBTTH&amp;THCS Hướng Lộc</t>
  </si>
  <si>
    <t>Trường THCS Thanh</t>
  </si>
  <si>
    <t>Tổng số biên chế theo quy định</t>
  </si>
  <si>
    <t>Năm học 2022-2023</t>
  </si>
  <si>
    <t>Biểu 4: Số liệu nội trú năm học 2017 - 2018</t>
  </si>
  <si>
    <t>Năm học 2017 - 2018</t>
  </si>
  <si>
    <t>PHỤ LỤC I: TRƯỜNG, LỚP, HỌC SINH PTDT  NỘI TRÚ HIỆN CÓ ĐẾN NĂM HỌC 2017 - 2018</t>
  </si>
  <si>
    <t>Biểu 4: Số liệu bán trú năm học 2017 - 2018</t>
  </si>
  <si>
    <t>TH&amp;THCS Húc Nghì</t>
  </si>
  <si>
    <t>THCS Đakrông</t>
  </si>
  <si>
    <t>Biểu 5: Số liệu học sinh bán trú dân nuôi tại các trường TH, THCS năm học 2017 - 2018</t>
  </si>
  <si>
    <t>TH&amp;THCS A Vao</t>
  </si>
  <si>
    <t>PHỤ LỤC III:  ĐỘI NGŨ  CÁN BỘ, GIÁO VIÊN, NHÂN VIÊN TẠI CÁC TRƯỜNG PTDT NỘI TRÚ, BÁN TRÚ ĐẾN NĂM HỌC 2017 - 2018</t>
  </si>
  <si>
    <t>Biểu 1: Thống kê đội ngũ tại trường PTDT Nội trú, Bán trú và kinh phí chi trả phụ cấp theo Nghị định 61/2006/NĐ-CP năm học 2016-2017</t>
  </si>
  <si>
    <t>Biểu 2: Thống kê đội ngũ tại trường PTDT Nội trú, Bán trú và kinh phí chi trả phụ cấp theo Nghị định 61/2006/NĐ-CP năm học 2017-2018</t>
  </si>
  <si>
    <t>Trường PTDTBT TH&amp;THCS Linh Thượng</t>
  </si>
  <si>
    <t>Trường PTDTBT TH&amp;THCS A Vao</t>
  </si>
  <si>
    <t>Trường PTDTBT THCS Hướng Linh</t>
  </si>
  <si>
    <t>Trường PTDTBT TH&amp;THCS Ba Tầng</t>
  </si>
  <si>
    <t>Trường PTDTBT THCS Húc</t>
  </si>
  <si>
    <t>Trường PTDTBT THCS Thanh</t>
  </si>
  <si>
    <t>Biểu 4: Định biên đội ngũ theo Thông tư 16/2017/TT-BGDĐT ngày 12/7/2017  áp dụng cho trường nội trú, bán trú</t>
  </si>
  <si>
    <t>Biểu 5: Số biên chế thừa (thiếu) khi chuyển sang loại hình bán trú</t>
  </si>
  <si>
    <t>Năm học 2023-2024</t>
  </si>
  <si>
    <t>Năm học 2024-2025</t>
  </si>
  <si>
    <t>Trường PTDTBT Vĩnh Ô (2018)</t>
  </si>
  <si>
    <t>Trường PTDTBT Vĩnh Hà (2019)</t>
  </si>
  <si>
    <t>Trường PTDTBT Vĩnh Khê (2019)</t>
  </si>
  <si>
    <t>Trường PTDTBT Vĩnh Trường (2018)</t>
  </si>
  <si>
    <t>Trường PTDTBT Linh Thượng (2019)</t>
  </si>
  <si>
    <t>Trường PTDTBT TH&amp;THCS A Vao (2019)</t>
  </si>
  <si>
    <t>Trường PTDT BTTH&amp;THCS Ba Tầng ( 2019)</t>
  </si>
  <si>
    <t>Trường PTDTBT THCS Húc ( 2020)</t>
  </si>
  <si>
    <t>Trường PTDTBTTHCS Hướng Linh ( 2021)</t>
  </si>
  <si>
    <t>Trường PTDT BTTHCS Thanh  ( 2022)</t>
  </si>
  <si>
    <t>TẠI CÁC TRƯỜNG PHỔ THÔNG DÂN TỘC NỘI TRÚ, BÁN TRÚ ĐẾN NĂM 2025</t>
  </si>
  <si>
    <t>Ghi chú</t>
  </si>
  <si>
    <t>PHỤ LỤC VIII.  NHU CẦU XÂY DỰNG BỔ SUNG CƠ SỞ VẬT CHẤT TRƯỜNG PHỔ THÔNG DÂN TỘC NỘI TRÚ, BÁN TRÚ ĐẾN NĂM 2025</t>
  </si>
  <si>
    <t>Trường PTDTBT TH&amp;THCS Hướng Linh ( 2021)</t>
  </si>
  <si>
    <t>Phòng nội trú, bán trú (200tr/ phòng)</t>
  </si>
  <si>
    <t>Cộng giai đoạn 2019-2025</t>
  </si>
  <si>
    <t>Nhu cầu tăng thêm so với năm trước</t>
  </si>
  <si>
    <t>Hỗ trợ học sinh nội trú, bán trú tăng thêm</t>
  </si>
  <si>
    <t>PHỤ LỤC V.  SỐ LƯỢNG TRƯỜNG VÀ QUY MÔ HỌC SINH  TẠI CÁC TRƯỜNG PHỔ THÔNG DÂN TỘC NỘI TRÚ, BÁN TRÚ ĐẾN NĂM 2025</t>
  </si>
  <si>
    <t>Thành tiền (22.501triệu đồng)</t>
  </si>
  <si>
    <t>PHỤ LỤC II: TRƯỜNG, LỚP, HỌC SINH PTDT  BÁN TRÚ HIỆN CÓ ĐẾN NĂM HỌC 2017 - 2018</t>
  </si>
  <si>
    <t>PHỤ LỤC IV.  THỰC TRẠNG CƠ SỞ VẬT CHẤT CÁC TRƯỜNG PTDT NỘI TRÚ, BÁN TRÚ  NĂM HỌC 2017 - 2018</t>
  </si>
  <si>
    <t>Biểu 2: Số lượng các thiết bị phục vụ sinh hoạt nội trú, bán trú hiện có</t>
  </si>
  <si>
    <t>PHỤ LỤC X. PHÂN KỲ ĐẦU TƯ THỰC HIỆN ĐỀ ÁN ĐẾN NĂM 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</si>
</sst>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#,##0.0"/>
  </numFmts>
  <fonts count="69">
    <font>
      <sz val="10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color indexed="1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8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168" fontId="13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3" fontId="20" fillId="33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18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3" fontId="1" fillId="0" borderId="10" xfId="42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shrinkToFit="1"/>
    </xf>
    <xf numFmtId="0" fontId="7" fillId="0" borderId="10" xfId="0" applyFont="1" applyBorder="1" applyAlignment="1">
      <alignment horizontal="center" shrinkToFit="1"/>
    </xf>
    <xf numFmtId="0" fontId="14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3" fontId="25" fillId="0" borderId="10" xfId="0" applyNumberFormat="1" applyFont="1" applyBorder="1" applyAlignment="1">
      <alignment horizontal="center" vertical="top" wrapText="1"/>
    </xf>
    <xf numFmtId="3" fontId="25" fillId="0" borderId="10" xfId="42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3" fontId="14" fillId="0" borderId="10" xfId="0" applyNumberFormat="1" applyFont="1" applyBorder="1" applyAlignment="1">
      <alignment horizontal="right" vertical="center" shrinkToFit="1"/>
    </xf>
    <xf numFmtId="3" fontId="10" fillId="0" borderId="10" xfId="0" applyNumberFormat="1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shrinkToFit="1"/>
    </xf>
    <xf numFmtId="3" fontId="27" fillId="0" borderId="10" xfId="0" applyNumberFormat="1" applyFont="1" applyBorder="1" applyAlignment="1">
      <alignment horizontal="right" shrinkToFit="1"/>
    </xf>
    <xf numFmtId="3" fontId="27" fillId="0" borderId="10" xfId="0" applyNumberFormat="1" applyFont="1" applyBorder="1" applyAlignment="1">
      <alignment horizontal="right" vertical="top" shrinkToFit="1"/>
    </xf>
    <xf numFmtId="3" fontId="28" fillId="0" borderId="10" xfId="0" applyNumberFormat="1" applyFont="1" applyBorder="1" applyAlignment="1">
      <alignment horizontal="right" shrinkToFit="1"/>
    </xf>
    <xf numFmtId="3" fontId="29" fillId="0" borderId="10" xfId="0" applyNumberFormat="1" applyFont="1" applyBorder="1" applyAlignment="1">
      <alignment horizontal="right" shrinkToFit="1"/>
    </xf>
    <xf numFmtId="3" fontId="30" fillId="0" borderId="10" xfId="42" applyNumberFormat="1" applyFont="1" applyBorder="1" applyAlignment="1">
      <alignment horizontal="right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3" fontId="27" fillId="0" borderId="10" xfId="42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top" shrinkToFit="1"/>
    </xf>
    <xf numFmtId="3" fontId="1" fillId="0" borderId="10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right" shrinkToFit="1"/>
    </xf>
    <xf numFmtId="3" fontId="1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shrinkToFit="1"/>
    </xf>
    <xf numFmtId="3" fontId="1" fillId="0" borderId="10" xfId="42" applyNumberFormat="1" applyFont="1" applyBorder="1" applyAlignment="1">
      <alignment horizontal="right" shrinkToFit="1"/>
    </xf>
    <xf numFmtId="3" fontId="1" fillId="0" borderId="10" xfId="0" applyNumberFormat="1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 shrinkToFit="1"/>
    </xf>
    <xf numFmtId="3" fontId="14" fillId="0" borderId="10" xfId="0" applyNumberFormat="1" applyFont="1" applyBorder="1" applyAlignment="1">
      <alignment horizontal="center" vertical="center" shrinkToFit="1"/>
    </xf>
    <xf numFmtId="3" fontId="1" fillId="0" borderId="10" xfId="0" applyNumberFormat="1" applyFont="1" applyBorder="1" applyAlignment="1" quotePrefix="1">
      <alignment horizontal="right" vertical="center" shrinkToFit="1"/>
    </xf>
    <xf numFmtId="0" fontId="1" fillId="0" borderId="10" xfId="0" applyFont="1" applyBorder="1" applyAlignment="1">
      <alignment horizontal="center" vertical="center" shrinkToFit="1"/>
    </xf>
    <xf numFmtId="3" fontId="1" fillId="0" borderId="10" xfId="43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right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/>
    </xf>
    <xf numFmtId="3" fontId="1" fillId="0" borderId="10" xfId="43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3" fontId="1" fillId="0" borderId="10" xfId="43" applyNumberFormat="1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shrinkToFit="1"/>
    </xf>
    <xf numFmtId="3" fontId="33" fillId="0" borderId="10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shrinkToFit="1"/>
    </xf>
    <xf numFmtId="0" fontId="1" fillId="0" borderId="1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14" fillId="0" borderId="10" xfId="42" applyNumberFormat="1" applyFont="1" applyBorder="1" applyAlignment="1">
      <alignment horizontal="right" vertical="center" shrinkToFit="1"/>
    </xf>
    <xf numFmtId="3" fontId="14" fillId="0" borderId="10" xfId="42" applyNumberFormat="1" applyFont="1" applyBorder="1" applyAlignment="1">
      <alignment horizontal="center" vertical="center" shrinkToFit="1"/>
    </xf>
    <xf numFmtId="3" fontId="10" fillId="0" borderId="10" xfId="0" applyNumberFormat="1" applyFont="1" applyBorder="1" applyAlignment="1">
      <alignment horizontal="center" vertical="center" shrinkToFit="1"/>
    </xf>
    <xf numFmtId="3" fontId="14" fillId="0" borderId="10" xfId="0" applyNumberFormat="1" applyFont="1" applyFill="1" applyBorder="1" applyAlignment="1">
      <alignment horizontal="center" vertical="center" shrinkToFit="1"/>
    </xf>
    <xf numFmtId="3" fontId="14" fillId="0" borderId="10" xfId="42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14" fillId="0" borderId="10" xfId="0" applyFont="1" applyFill="1" applyBorder="1" applyAlignment="1">
      <alignment vertical="center" shrinkToFit="1"/>
    </xf>
    <xf numFmtId="3" fontId="10" fillId="0" borderId="10" xfId="0" applyNumberFormat="1" applyFont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 shrinkToFit="1"/>
    </xf>
    <xf numFmtId="0" fontId="3" fillId="0" borderId="10" xfId="57" applyFont="1" applyFill="1" applyBorder="1" applyAlignment="1">
      <alignment horizontal="center" shrinkToFit="1"/>
      <protection/>
    </xf>
    <xf numFmtId="3" fontId="1" fillId="0" borderId="10" xfId="0" applyNumberFormat="1" applyFont="1" applyFill="1" applyBorder="1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 wrapText="1"/>
    </xf>
    <xf numFmtId="169" fontId="13" fillId="0" borderId="0" xfId="42" applyNumberFormat="1" applyFont="1" applyAlignment="1">
      <alignment/>
    </xf>
    <xf numFmtId="3" fontId="34" fillId="0" borderId="10" xfId="0" applyNumberFormat="1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center" vertical="center" wrapText="1"/>
    </xf>
    <xf numFmtId="3" fontId="0" fillId="0" borderId="10" xfId="43" applyNumberFormat="1" applyFont="1" applyBorder="1" applyAlignment="1">
      <alignment horizontal="center" vertical="center" wrapText="1"/>
    </xf>
    <xf numFmtId="3" fontId="0" fillId="0" borderId="10" xfId="57" applyNumberFormat="1" applyFont="1" applyBorder="1" applyAlignment="1">
      <alignment horizontal="center" vertical="center" wrapText="1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3" fontId="0" fillId="0" borderId="10" xfId="42" applyNumberFormat="1" applyFont="1" applyFill="1" applyBorder="1" applyAlignment="1">
      <alignment horizontal="center" vertical="center" wrapText="1"/>
    </xf>
    <xf numFmtId="3" fontId="0" fillId="0" borderId="10" xfId="43" applyNumberFormat="1" applyFont="1" applyFill="1" applyBorder="1" applyAlignment="1">
      <alignment horizontal="center" vertical="center" wrapText="1"/>
    </xf>
    <xf numFmtId="3" fontId="34" fillId="0" borderId="10" xfId="57" applyNumberFormat="1" applyFont="1" applyFill="1" applyBorder="1" applyAlignment="1">
      <alignment horizontal="right"/>
      <protection/>
    </xf>
    <xf numFmtId="3" fontId="34" fillId="0" borderId="1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right" vertical="center" wrapText="1"/>
      <protection/>
    </xf>
    <xf numFmtId="3" fontId="20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 shrinkToFit="1"/>
    </xf>
    <xf numFmtId="3" fontId="1" fillId="0" borderId="12" xfId="0" applyNumberFormat="1" applyFont="1" applyBorder="1" applyAlignment="1">
      <alignment horizontal="right" shrinkToFit="1"/>
    </xf>
    <xf numFmtId="0" fontId="1" fillId="0" borderId="12" xfId="0" applyFont="1" applyBorder="1" applyAlignment="1">
      <alignment vertical="center" shrinkToFit="1"/>
    </xf>
    <xf numFmtId="3" fontId="14" fillId="0" borderId="12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" fillId="0" borderId="12" xfId="0" applyNumberFormat="1" applyFont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horizontal="center" shrinkToFit="1"/>
    </xf>
    <xf numFmtId="3" fontId="1" fillId="0" borderId="10" xfId="42" applyNumberFormat="1" applyFont="1" applyFill="1" applyBorder="1" applyAlignment="1">
      <alignment horizontal="right" shrinkToFit="1"/>
    </xf>
    <xf numFmtId="3" fontId="1" fillId="0" borderId="10" xfId="0" applyNumberFormat="1" applyFont="1" applyFill="1" applyBorder="1" applyAlignment="1">
      <alignment horizontal="center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42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wrapText="1" shrinkToFit="1"/>
    </xf>
    <xf numFmtId="170" fontId="1" fillId="0" borderId="0" xfId="60" applyNumberFormat="1" applyFont="1" applyAlignment="1">
      <alignment/>
    </xf>
    <xf numFmtId="3" fontId="19" fillId="0" borderId="12" xfId="0" applyNumberFormat="1" applyFont="1" applyFill="1" applyBorder="1" applyAlignment="1">
      <alignment horizontal="right" vertical="center" shrinkToFit="1"/>
    </xf>
    <xf numFmtId="3" fontId="19" fillId="35" borderId="12" xfId="0" applyNumberFormat="1" applyFont="1" applyFill="1" applyBorder="1" applyAlignment="1">
      <alignment horizontal="right" vertical="center" shrinkToFit="1"/>
    </xf>
    <xf numFmtId="3" fontId="10" fillId="0" borderId="10" xfId="0" applyNumberFormat="1" applyFont="1" applyBorder="1" applyAlignment="1">
      <alignment vertical="center" shrinkToFit="1"/>
    </xf>
    <xf numFmtId="3" fontId="10" fillId="0" borderId="10" xfId="0" applyNumberFormat="1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35" borderId="12" xfId="0" applyFont="1" applyFill="1" applyBorder="1" applyAlignment="1">
      <alignment vertical="center" shrinkToFit="1"/>
    </xf>
    <xf numFmtId="3" fontId="14" fillId="0" borderId="10" xfId="0" applyNumberFormat="1" applyFont="1" applyBorder="1" applyAlignment="1">
      <alignment vertical="center" shrinkToFit="1"/>
    </xf>
    <xf numFmtId="3" fontId="14" fillId="0" borderId="10" xfId="0" applyNumberFormat="1" applyFont="1" applyFill="1" applyBorder="1" applyAlignment="1">
      <alignment vertical="center" shrinkToFit="1"/>
    </xf>
    <xf numFmtId="3" fontId="34" fillId="0" borderId="10" xfId="42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shrinkToFit="1"/>
    </xf>
    <xf numFmtId="0" fontId="21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42" sqref="A42:IV42"/>
    </sheetView>
  </sheetViews>
  <sheetFormatPr defaultColWidth="9.140625" defaultRowHeight="12.75"/>
  <cols>
    <col min="1" max="1" width="8.00390625" style="8" customWidth="1"/>
    <col min="2" max="2" width="31.140625" style="8" customWidth="1"/>
    <col min="3" max="4" width="9.140625" style="8" customWidth="1"/>
    <col min="5" max="5" width="9.421875" style="8" customWidth="1"/>
    <col min="6" max="10" width="9.140625" style="8" customWidth="1"/>
    <col min="11" max="11" width="9.7109375" style="8" customWidth="1"/>
    <col min="12" max="12" width="14.00390625" style="8" customWidth="1"/>
    <col min="13" max="16384" width="9.140625" style="8" customWidth="1"/>
  </cols>
  <sheetData>
    <row r="1" ht="16.5">
      <c r="A1" s="7" t="s">
        <v>226</v>
      </c>
    </row>
    <row r="2" ht="11.25" customHeight="1"/>
    <row r="3" ht="16.5">
      <c r="A3" s="7" t="s">
        <v>13</v>
      </c>
    </row>
    <row r="4" spans="1:12" ht="16.5" customHeight="1">
      <c r="A4" s="225" t="s">
        <v>10</v>
      </c>
      <c r="B4" s="225" t="s">
        <v>0</v>
      </c>
      <c r="C4" s="225" t="s">
        <v>1</v>
      </c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6.5">
      <c r="A5" s="225"/>
      <c r="B5" s="225"/>
      <c r="C5" s="225" t="s">
        <v>2</v>
      </c>
      <c r="D5" s="225"/>
      <c r="E5" s="225"/>
      <c r="F5" s="225" t="s">
        <v>3</v>
      </c>
      <c r="G5" s="225"/>
      <c r="H5" s="225"/>
      <c r="I5" s="225"/>
      <c r="J5" s="225"/>
      <c r="K5" s="225"/>
      <c r="L5" s="225" t="s">
        <v>15</v>
      </c>
    </row>
    <row r="6" spans="1:12" ht="16.5" customHeight="1">
      <c r="A6" s="225"/>
      <c r="B6" s="225"/>
      <c r="C6" s="225" t="s">
        <v>4</v>
      </c>
      <c r="D6" s="225" t="s">
        <v>5</v>
      </c>
      <c r="E6" s="225" t="s">
        <v>14</v>
      </c>
      <c r="F6" s="225" t="s">
        <v>8</v>
      </c>
      <c r="G6" s="225"/>
      <c r="H6" s="225"/>
      <c r="I6" s="225" t="s">
        <v>175</v>
      </c>
      <c r="J6" s="225"/>
      <c r="K6" s="225"/>
      <c r="L6" s="225"/>
    </row>
    <row r="7" spans="1:12" ht="33">
      <c r="A7" s="225"/>
      <c r="B7" s="225"/>
      <c r="C7" s="225"/>
      <c r="D7" s="225"/>
      <c r="E7" s="225"/>
      <c r="F7" s="1" t="s">
        <v>9</v>
      </c>
      <c r="G7" s="1" t="s">
        <v>5</v>
      </c>
      <c r="H7" s="1" t="s">
        <v>14</v>
      </c>
      <c r="I7" s="1" t="s">
        <v>9</v>
      </c>
      <c r="J7" s="1" t="s">
        <v>5</v>
      </c>
      <c r="K7" s="1" t="s">
        <v>14</v>
      </c>
      <c r="L7" s="225"/>
    </row>
    <row r="8" spans="1:12" ht="16.5">
      <c r="A8" s="83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83">
        <v>12</v>
      </c>
    </row>
    <row r="9" spans="1:12" ht="21" customHeight="1">
      <c r="A9" s="11">
        <v>1</v>
      </c>
      <c r="B9" s="64" t="s">
        <v>149</v>
      </c>
      <c r="C9" s="1">
        <v>9</v>
      </c>
      <c r="D9" s="1">
        <v>304</v>
      </c>
      <c r="E9" s="1">
        <v>304</v>
      </c>
      <c r="F9" s="1"/>
      <c r="G9" s="1"/>
      <c r="H9" s="1"/>
      <c r="I9" s="1">
        <v>9</v>
      </c>
      <c r="J9" s="1">
        <v>304</v>
      </c>
      <c r="K9" s="1">
        <v>304</v>
      </c>
      <c r="L9" s="81">
        <v>3319250</v>
      </c>
    </row>
    <row r="10" spans="1:12" ht="21" customHeight="1">
      <c r="A10" s="11">
        <v>2</v>
      </c>
      <c r="B10" s="64" t="s">
        <v>130</v>
      </c>
      <c r="C10" s="1">
        <v>8</v>
      </c>
      <c r="D10" s="1">
        <v>175</v>
      </c>
      <c r="E10" s="1">
        <v>175</v>
      </c>
      <c r="F10" s="1">
        <v>8</v>
      </c>
      <c r="G10" s="1">
        <v>175</v>
      </c>
      <c r="H10" s="1">
        <v>175</v>
      </c>
      <c r="I10" s="1"/>
      <c r="J10" s="1"/>
      <c r="K10" s="1"/>
      <c r="L10" s="81">
        <v>1836320</v>
      </c>
    </row>
    <row r="11" spans="1:12" ht="21" customHeight="1">
      <c r="A11" s="11">
        <v>3</v>
      </c>
      <c r="B11" s="64" t="s">
        <v>142</v>
      </c>
      <c r="C11" s="1">
        <v>6</v>
      </c>
      <c r="D11" s="1">
        <v>151</v>
      </c>
      <c r="E11" s="1">
        <v>151</v>
      </c>
      <c r="F11" s="1">
        <v>6</v>
      </c>
      <c r="G11" s="1">
        <v>151</v>
      </c>
      <c r="H11" s="1">
        <v>151</v>
      </c>
      <c r="I11" s="1"/>
      <c r="J11" s="1"/>
      <c r="K11" s="1"/>
      <c r="L11" s="81">
        <v>1667000</v>
      </c>
    </row>
    <row r="12" spans="1:12" ht="21" customHeight="1">
      <c r="A12" s="11">
        <v>4</v>
      </c>
      <c r="B12" s="64" t="s">
        <v>153</v>
      </c>
      <c r="C12" s="1">
        <v>8</v>
      </c>
      <c r="D12" s="1">
        <v>283</v>
      </c>
      <c r="E12" s="1">
        <v>283</v>
      </c>
      <c r="F12" s="1">
        <v>8</v>
      </c>
      <c r="G12" s="1">
        <v>283</v>
      </c>
      <c r="H12" s="1">
        <v>283</v>
      </c>
      <c r="I12" s="1"/>
      <c r="J12" s="1"/>
      <c r="K12" s="1"/>
      <c r="L12" s="84">
        <v>2922840</v>
      </c>
    </row>
    <row r="13" spans="1:12" ht="21.75" customHeight="1">
      <c r="A13" s="11">
        <v>5</v>
      </c>
      <c r="B13" s="118" t="s">
        <v>173</v>
      </c>
      <c r="C13" s="1">
        <v>8</v>
      </c>
      <c r="D13" s="1">
        <v>258</v>
      </c>
      <c r="E13" s="1">
        <v>258</v>
      </c>
      <c r="F13" s="1">
        <v>8</v>
      </c>
      <c r="G13" s="1">
        <v>258</v>
      </c>
      <c r="H13" s="1">
        <v>258</v>
      </c>
      <c r="I13" s="1"/>
      <c r="J13" s="1"/>
      <c r="K13" s="1"/>
      <c r="L13" s="81">
        <v>2742520</v>
      </c>
    </row>
    <row r="14" spans="1:12" ht="18.75" customHeight="1">
      <c r="A14" s="9"/>
      <c r="B14" s="82" t="s">
        <v>82</v>
      </c>
      <c r="C14" s="85">
        <f aca="true" t="shared" si="0" ref="C14:L14">SUM(C9:C13)</f>
        <v>39</v>
      </c>
      <c r="D14" s="85">
        <f t="shared" si="0"/>
        <v>1171</v>
      </c>
      <c r="E14" s="85">
        <f t="shared" si="0"/>
        <v>1171</v>
      </c>
      <c r="F14" s="85">
        <f t="shared" si="0"/>
        <v>30</v>
      </c>
      <c r="G14" s="85">
        <f t="shared" si="0"/>
        <v>867</v>
      </c>
      <c r="H14" s="85">
        <f t="shared" si="0"/>
        <v>867</v>
      </c>
      <c r="I14" s="85">
        <f t="shared" si="0"/>
        <v>9</v>
      </c>
      <c r="J14" s="85">
        <f t="shared" si="0"/>
        <v>304</v>
      </c>
      <c r="K14" s="85">
        <f t="shared" si="0"/>
        <v>304</v>
      </c>
      <c r="L14" s="85">
        <f t="shared" si="0"/>
        <v>12487930</v>
      </c>
    </row>
    <row r="15" ht="12.75" customHeight="1"/>
    <row r="16" ht="16.5">
      <c r="A16" s="7" t="s">
        <v>16</v>
      </c>
    </row>
    <row r="17" spans="1:12" ht="16.5" customHeight="1">
      <c r="A17" s="225" t="s">
        <v>10</v>
      </c>
      <c r="B17" s="225" t="s">
        <v>0</v>
      </c>
      <c r="C17" s="225" t="s">
        <v>17</v>
      </c>
      <c r="D17" s="225"/>
      <c r="E17" s="225"/>
      <c r="F17" s="225"/>
      <c r="G17" s="225"/>
      <c r="H17" s="225"/>
      <c r="I17" s="225"/>
      <c r="J17" s="225"/>
      <c r="K17" s="225"/>
      <c r="L17" s="225"/>
    </row>
    <row r="18" spans="1:12" ht="16.5">
      <c r="A18" s="225"/>
      <c r="B18" s="225"/>
      <c r="C18" s="225" t="s">
        <v>2</v>
      </c>
      <c r="D18" s="225"/>
      <c r="E18" s="225"/>
      <c r="F18" s="225" t="s">
        <v>3</v>
      </c>
      <c r="G18" s="225"/>
      <c r="H18" s="225"/>
      <c r="I18" s="225"/>
      <c r="J18" s="225"/>
      <c r="K18" s="225"/>
      <c r="L18" s="225" t="s">
        <v>15</v>
      </c>
    </row>
    <row r="19" spans="1:12" ht="16.5" customHeight="1">
      <c r="A19" s="225"/>
      <c r="B19" s="225"/>
      <c r="C19" s="225" t="s">
        <v>4</v>
      </c>
      <c r="D19" s="225" t="s">
        <v>5</v>
      </c>
      <c r="E19" s="225" t="s">
        <v>14</v>
      </c>
      <c r="F19" s="225" t="s">
        <v>8</v>
      </c>
      <c r="G19" s="225"/>
      <c r="H19" s="225"/>
      <c r="I19" s="225" t="s">
        <v>175</v>
      </c>
      <c r="J19" s="225"/>
      <c r="K19" s="225"/>
      <c r="L19" s="225"/>
    </row>
    <row r="20" spans="1:12" ht="33">
      <c r="A20" s="225"/>
      <c r="B20" s="225"/>
      <c r="C20" s="225"/>
      <c r="D20" s="225"/>
      <c r="E20" s="225"/>
      <c r="F20" s="1" t="s">
        <v>9</v>
      </c>
      <c r="G20" s="1" t="s">
        <v>5</v>
      </c>
      <c r="H20" s="1" t="s">
        <v>14</v>
      </c>
      <c r="I20" s="1" t="s">
        <v>9</v>
      </c>
      <c r="J20" s="1" t="s">
        <v>5</v>
      </c>
      <c r="K20" s="1" t="s">
        <v>14</v>
      </c>
      <c r="L20" s="225"/>
    </row>
    <row r="21" spans="1:12" ht="16.5">
      <c r="A21" s="83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83">
        <v>12</v>
      </c>
    </row>
    <row r="22" spans="1:12" ht="21" customHeight="1">
      <c r="A22" s="11">
        <v>1</v>
      </c>
      <c r="B22" s="117" t="s">
        <v>149</v>
      </c>
      <c r="C22" s="1">
        <v>9</v>
      </c>
      <c r="D22" s="1">
        <v>307</v>
      </c>
      <c r="E22" s="1">
        <v>307</v>
      </c>
      <c r="F22" s="1"/>
      <c r="G22" s="1"/>
      <c r="H22" s="1"/>
      <c r="I22" s="1">
        <v>9</v>
      </c>
      <c r="J22" s="1">
        <v>307</v>
      </c>
      <c r="K22" s="1">
        <v>307</v>
      </c>
      <c r="L22" s="81">
        <v>3349489</v>
      </c>
    </row>
    <row r="23" spans="1:12" ht="21" customHeight="1">
      <c r="A23" s="11">
        <v>2</v>
      </c>
      <c r="B23" s="117" t="s">
        <v>130</v>
      </c>
      <c r="C23" s="1">
        <v>8</v>
      </c>
      <c r="D23" s="1">
        <v>176</v>
      </c>
      <c r="E23" s="1">
        <v>176</v>
      </c>
      <c r="F23" s="1">
        <v>8</v>
      </c>
      <c r="G23" s="1">
        <v>176</v>
      </c>
      <c r="H23" s="1">
        <v>176</v>
      </c>
      <c r="I23" s="1"/>
      <c r="J23" s="1"/>
      <c r="K23" s="1"/>
      <c r="L23" s="81">
        <v>1975120</v>
      </c>
    </row>
    <row r="24" spans="1:12" ht="21" customHeight="1">
      <c r="A24" s="11">
        <v>3</v>
      </c>
      <c r="B24" s="117" t="s">
        <v>142</v>
      </c>
      <c r="C24" s="1">
        <v>6</v>
      </c>
      <c r="D24" s="1">
        <v>150</v>
      </c>
      <c r="E24" s="1">
        <v>150</v>
      </c>
      <c r="F24" s="1">
        <v>6</v>
      </c>
      <c r="G24" s="1">
        <v>150</v>
      </c>
      <c r="H24" s="1">
        <v>150</v>
      </c>
      <c r="I24" s="1"/>
      <c r="J24" s="1"/>
      <c r="K24" s="1"/>
      <c r="L24" s="81">
        <v>1699000</v>
      </c>
    </row>
    <row r="25" spans="1:12" ht="21" customHeight="1">
      <c r="A25" s="11">
        <v>4</v>
      </c>
      <c r="B25" s="117" t="s">
        <v>153</v>
      </c>
      <c r="C25" s="1">
        <v>8</v>
      </c>
      <c r="D25" s="1">
        <v>283</v>
      </c>
      <c r="E25" s="1">
        <v>283</v>
      </c>
      <c r="F25" s="1">
        <v>8</v>
      </c>
      <c r="G25" s="1">
        <v>283</v>
      </c>
      <c r="H25" s="1">
        <v>283</v>
      </c>
      <c r="I25" s="1"/>
      <c r="J25" s="1"/>
      <c r="K25" s="1"/>
      <c r="L25" s="84">
        <v>2922840</v>
      </c>
    </row>
    <row r="26" spans="1:12" ht="21.75" customHeight="1">
      <c r="A26" s="11">
        <v>5</v>
      </c>
      <c r="B26" s="118" t="s">
        <v>174</v>
      </c>
      <c r="C26" s="1">
        <v>8</v>
      </c>
      <c r="D26" s="1">
        <v>262</v>
      </c>
      <c r="E26" s="1">
        <v>262</v>
      </c>
      <c r="F26" s="1">
        <v>8</v>
      </c>
      <c r="G26" s="1">
        <v>262</v>
      </c>
      <c r="H26" s="1">
        <v>262</v>
      </c>
      <c r="I26" s="1"/>
      <c r="J26" s="1"/>
      <c r="K26" s="1"/>
      <c r="L26" s="81">
        <v>2828960</v>
      </c>
    </row>
    <row r="27" spans="1:12" ht="18" customHeight="1">
      <c r="A27" s="9"/>
      <c r="B27" s="82" t="s">
        <v>82</v>
      </c>
      <c r="C27" s="85">
        <f aca="true" t="shared" si="1" ref="C27:L27">SUM(C22:C26)</f>
        <v>39</v>
      </c>
      <c r="D27" s="85">
        <f t="shared" si="1"/>
        <v>1178</v>
      </c>
      <c r="E27" s="85">
        <f t="shared" si="1"/>
        <v>1178</v>
      </c>
      <c r="F27" s="85">
        <f>SUM(F22:F26)</f>
        <v>30</v>
      </c>
      <c r="G27" s="85">
        <f>SUM(G22:G26)</f>
        <v>871</v>
      </c>
      <c r="H27" s="85">
        <f t="shared" si="1"/>
        <v>871</v>
      </c>
      <c r="I27" s="85">
        <f t="shared" si="1"/>
        <v>9</v>
      </c>
      <c r="J27" s="85">
        <f t="shared" si="1"/>
        <v>307</v>
      </c>
      <c r="K27" s="85">
        <f t="shared" si="1"/>
        <v>307</v>
      </c>
      <c r="L27" s="85">
        <f t="shared" si="1"/>
        <v>12775409</v>
      </c>
    </row>
    <row r="29" ht="16.5">
      <c r="A29" s="7" t="s">
        <v>18</v>
      </c>
    </row>
    <row r="30" spans="1:12" ht="16.5" customHeight="1">
      <c r="A30" s="225" t="s">
        <v>10</v>
      </c>
      <c r="B30" s="225" t="s">
        <v>0</v>
      </c>
      <c r="C30" s="225" t="s">
        <v>19</v>
      </c>
      <c r="D30" s="225"/>
      <c r="E30" s="225"/>
      <c r="F30" s="225"/>
      <c r="G30" s="225"/>
      <c r="H30" s="225"/>
      <c r="I30" s="225"/>
      <c r="J30" s="225"/>
      <c r="K30" s="225"/>
      <c r="L30" s="225"/>
    </row>
    <row r="31" spans="1:12" ht="16.5">
      <c r="A31" s="225"/>
      <c r="B31" s="225"/>
      <c r="C31" s="225" t="s">
        <v>2</v>
      </c>
      <c r="D31" s="225"/>
      <c r="E31" s="225"/>
      <c r="F31" s="225" t="s">
        <v>3</v>
      </c>
      <c r="G31" s="225"/>
      <c r="H31" s="225"/>
      <c r="I31" s="225"/>
      <c r="J31" s="225"/>
      <c r="K31" s="225"/>
      <c r="L31" s="225" t="s">
        <v>15</v>
      </c>
    </row>
    <row r="32" spans="1:12" ht="16.5" customHeight="1">
      <c r="A32" s="225"/>
      <c r="B32" s="225"/>
      <c r="C32" s="225" t="s">
        <v>4</v>
      </c>
      <c r="D32" s="225" t="s">
        <v>5</v>
      </c>
      <c r="E32" s="225" t="s">
        <v>14</v>
      </c>
      <c r="F32" s="225" t="s">
        <v>8</v>
      </c>
      <c r="G32" s="225"/>
      <c r="H32" s="225"/>
      <c r="I32" s="225" t="s">
        <v>175</v>
      </c>
      <c r="J32" s="225"/>
      <c r="K32" s="225"/>
      <c r="L32" s="225"/>
    </row>
    <row r="33" spans="1:12" ht="33">
      <c r="A33" s="225"/>
      <c r="B33" s="225"/>
      <c r="C33" s="225"/>
      <c r="D33" s="225"/>
      <c r="E33" s="225"/>
      <c r="F33" s="1" t="s">
        <v>9</v>
      </c>
      <c r="G33" s="1" t="s">
        <v>5</v>
      </c>
      <c r="H33" s="1" t="s">
        <v>14</v>
      </c>
      <c r="I33" s="1" t="s">
        <v>9</v>
      </c>
      <c r="J33" s="1" t="s">
        <v>5</v>
      </c>
      <c r="K33" s="1" t="s">
        <v>14</v>
      </c>
      <c r="L33" s="225"/>
    </row>
    <row r="34" spans="1:12" ht="16.5">
      <c r="A34" s="83">
        <v>1</v>
      </c>
      <c r="B34" s="22">
        <v>2</v>
      </c>
      <c r="C34" s="22">
        <v>3</v>
      </c>
      <c r="D34" s="22">
        <v>4</v>
      </c>
      <c r="E34" s="22">
        <v>5</v>
      </c>
      <c r="F34" s="22">
        <v>6</v>
      </c>
      <c r="G34" s="22">
        <v>7</v>
      </c>
      <c r="H34" s="22">
        <v>8</v>
      </c>
      <c r="I34" s="22">
        <v>9</v>
      </c>
      <c r="J34" s="22">
        <v>10</v>
      </c>
      <c r="K34" s="22">
        <v>11</v>
      </c>
      <c r="L34" s="83">
        <v>12</v>
      </c>
    </row>
    <row r="35" spans="1:12" ht="21" customHeight="1">
      <c r="A35" s="11">
        <v>1</v>
      </c>
      <c r="B35" s="64" t="s">
        <v>149</v>
      </c>
      <c r="C35" s="1">
        <v>9</v>
      </c>
      <c r="D35" s="1">
        <v>304</v>
      </c>
      <c r="E35" s="1">
        <v>304</v>
      </c>
      <c r="F35" s="1"/>
      <c r="G35" s="1"/>
      <c r="H35" s="1"/>
      <c r="I35" s="1">
        <v>9</v>
      </c>
      <c r="J35" s="1">
        <v>304</v>
      </c>
      <c r="K35" s="1">
        <v>304</v>
      </c>
      <c r="L35" s="81">
        <v>3507184</v>
      </c>
    </row>
    <row r="36" spans="1:12" ht="21" customHeight="1">
      <c r="A36" s="11">
        <v>2</v>
      </c>
      <c r="B36" s="64" t="s">
        <v>130</v>
      </c>
      <c r="C36" s="1">
        <v>8</v>
      </c>
      <c r="D36" s="1">
        <v>177</v>
      </c>
      <c r="E36" s="1">
        <v>177</v>
      </c>
      <c r="F36" s="1">
        <v>8</v>
      </c>
      <c r="G36" s="1">
        <v>177</v>
      </c>
      <c r="H36" s="1">
        <v>177</v>
      </c>
      <c r="I36" s="1"/>
      <c r="J36" s="1"/>
      <c r="K36" s="1"/>
      <c r="L36" s="81">
        <v>2148960</v>
      </c>
    </row>
    <row r="37" spans="1:12" ht="21" customHeight="1">
      <c r="A37" s="11">
        <v>3</v>
      </c>
      <c r="B37" s="64" t="s">
        <v>142</v>
      </c>
      <c r="C37" s="1">
        <v>6</v>
      </c>
      <c r="D37" s="1">
        <v>142</v>
      </c>
      <c r="E37" s="1">
        <v>142</v>
      </c>
      <c r="F37" s="1">
        <v>6</v>
      </c>
      <c r="G37" s="1">
        <v>142</v>
      </c>
      <c r="H37" s="1">
        <v>142</v>
      </c>
      <c r="I37" s="1"/>
      <c r="J37" s="1"/>
      <c r="K37" s="1"/>
      <c r="L37" s="81">
        <v>1749000</v>
      </c>
    </row>
    <row r="38" spans="1:12" ht="21" customHeight="1">
      <c r="A38" s="11">
        <v>4</v>
      </c>
      <c r="B38" s="64" t="s">
        <v>153</v>
      </c>
      <c r="C38" s="1">
        <v>8</v>
      </c>
      <c r="D38" s="1">
        <v>280</v>
      </c>
      <c r="E38" s="1">
        <v>280</v>
      </c>
      <c r="F38" s="1">
        <v>8</v>
      </c>
      <c r="G38" s="1">
        <v>280</v>
      </c>
      <c r="H38" s="1">
        <v>280</v>
      </c>
      <c r="I38" s="1"/>
      <c r="J38" s="1"/>
      <c r="K38" s="1"/>
      <c r="L38" s="84">
        <v>3040488</v>
      </c>
    </row>
    <row r="39" spans="1:12" ht="21.75" customHeight="1">
      <c r="A39" s="11">
        <v>5</v>
      </c>
      <c r="B39" s="98" t="s">
        <v>174</v>
      </c>
      <c r="C39" s="1">
        <v>8</v>
      </c>
      <c r="D39" s="1">
        <v>263</v>
      </c>
      <c r="E39" s="1">
        <v>263</v>
      </c>
      <c r="F39" s="1">
        <v>8</v>
      </c>
      <c r="G39" s="1">
        <v>263</v>
      </c>
      <c r="H39" s="1">
        <v>263</v>
      </c>
      <c r="I39" s="1"/>
      <c r="J39" s="1"/>
      <c r="K39" s="1"/>
      <c r="L39" s="81">
        <v>3055000</v>
      </c>
    </row>
    <row r="40" spans="1:12" ht="21" customHeight="1">
      <c r="A40" s="9"/>
      <c r="B40" s="82" t="s">
        <v>82</v>
      </c>
      <c r="C40" s="85">
        <f>SUM(C35:C39)</f>
        <v>39</v>
      </c>
      <c r="D40" s="85">
        <f aca="true" t="shared" si="2" ref="D40:K40">SUM(D35:D39)</f>
        <v>1166</v>
      </c>
      <c r="E40" s="85">
        <f t="shared" si="2"/>
        <v>1166</v>
      </c>
      <c r="F40" s="85">
        <f t="shared" si="2"/>
        <v>30</v>
      </c>
      <c r="G40" s="85">
        <f t="shared" si="2"/>
        <v>862</v>
      </c>
      <c r="H40" s="85">
        <f t="shared" si="2"/>
        <v>862</v>
      </c>
      <c r="I40" s="85">
        <f t="shared" si="2"/>
        <v>9</v>
      </c>
      <c r="J40" s="85">
        <f t="shared" si="2"/>
        <v>304</v>
      </c>
      <c r="K40" s="85">
        <f t="shared" si="2"/>
        <v>304</v>
      </c>
      <c r="L40" s="85">
        <f>SUM(L35:L39)</f>
        <v>13500632</v>
      </c>
    </row>
    <row r="42" ht="16.5">
      <c r="A42" s="7" t="s">
        <v>224</v>
      </c>
    </row>
    <row r="43" spans="1:12" ht="16.5" customHeight="1">
      <c r="A43" s="225" t="s">
        <v>10</v>
      </c>
      <c r="B43" s="225" t="s">
        <v>0</v>
      </c>
      <c r="C43" s="225" t="s">
        <v>225</v>
      </c>
      <c r="D43" s="225"/>
      <c r="E43" s="225"/>
      <c r="F43" s="225"/>
      <c r="G43" s="225"/>
      <c r="H43" s="225"/>
      <c r="I43" s="225"/>
      <c r="J43" s="225"/>
      <c r="K43" s="225"/>
      <c r="L43" s="225"/>
    </row>
    <row r="44" spans="1:12" ht="16.5">
      <c r="A44" s="225"/>
      <c r="B44" s="225"/>
      <c r="C44" s="225" t="s">
        <v>2</v>
      </c>
      <c r="D44" s="225"/>
      <c r="E44" s="225"/>
      <c r="F44" s="225" t="s">
        <v>3</v>
      </c>
      <c r="G44" s="225"/>
      <c r="H44" s="225"/>
      <c r="I44" s="225"/>
      <c r="J44" s="225"/>
      <c r="K44" s="225"/>
      <c r="L44" s="225" t="s">
        <v>15</v>
      </c>
    </row>
    <row r="45" spans="1:12" ht="16.5" customHeight="1">
      <c r="A45" s="225"/>
      <c r="B45" s="225"/>
      <c r="C45" s="225" t="s">
        <v>4</v>
      </c>
      <c r="D45" s="225" t="s">
        <v>5</v>
      </c>
      <c r="E45" s="225" t="s">
        <v>14</v>
      </c>
      <c r="F45" s="225" t="s">
        <v>8</v>
      </c>
      <c r="G45" s="225"/>
      <c r="H45" s="225"/>
      <c r="I45" s="225" t="s">
        <v>175</v>
      </c>
      <c r="J45" s="225"/>
      <c r="K45" s="225"/>
      <c r="L45" s="225"/>
    </row>
    <row r="46" spans="1:12" ht="33">
      <c r="A46" s="225"/>
      <c r="B46" s="225"/>
      <c r="C46" s="225"/>
      <c r="D46" s="225"/>
      <c r="E46" s="225"/>
      <c r="F46" s="1" t="s">
        <v>9</v>
      </c>
      <c r="G46" s="1" t="s">
        <v>5</v>
      </c>
      <c r="H46" s="1" t="s">
        <v>14</v>
      </c>
      <c r="I46" s="1" t="s">
        <v>9</v>
      </c>
      <c r="J46" s="1" t="s">
        <v>5</v>
      </c>
      <c r="K46" s="1" t="s">
        <v>14</v>
      </c>
      <c r="L46" s="225"/>
    </row>
    <row r="47" spans="1:12" ht="16.5">
      <c r="A47" s="83">
        <v>1</v>
      </c>
      <c r="B47" s="22">
        <v>2</v>
      </c>
      <c r="C47" s="22">
        <v>3</v>
      </c>
      <c r="D47" s="22">
        <v>4</v>
      </c>
      <c r="E47" s="22">
        <v>5</v>
      </c>
      <c r="F47" s="22">
        <v>6</v>
      </c>
      <c r="G47" s="22">
        <v>7</v>
      </c>
      <c r="H47" s="22">
        <v>8</v>
      </c>
      <c r="I47" s="22">
        <v>9</v>
      </c>
      <c r="J47" s="22">
        <v>10</v>
      </c>
      <c r="K47" s="22">
        <v>11</v>
      </c>
      <c r="L47" s="83">
        <v>12</v>
      </c>
    </row>
    <row r="48" spans="1:12" ht="21" customHeight="1">
      <c r="A48" s="11">
        <v>1</v>
      </c>
      <c r="B48" s="64" t="s">
        <v>149</v>
      </c>
      <c r="C48" s="1">
        <v>9</v>
      </c>
      <c r="D48" s="1">
        <v>302</v>
      </c>
      <c r="E48" s="1">
        <v>302</v>
      </c>
      <c r="F48" s="1"/>
      <c r="G48" s="1"/>
      <c r="H48" s="1"/>
      <c r="I48" s="1">
        <v>9</v>
      </c>
      <c r="J48" s="1">
        <v>302</v>
      </c>
      <c r="K48" s="1">
        <v>302</v>
      </c>
      <c r="L48" s="81">
        <v>3511000</v>
      </c>
    </row>
    <row r="49" spans="1:12" ht="21" customHeight="1">
      <c r="A49" s="11">
        <v>2</v>
      </c>
      <c r="B49" s="64" t="s">
        <v>130</v>
      </c>
      <c r="C49" s="1">
        <v>8</v>
      </c>
      <c r="D49" s="1">
        <v>177</v>
      </c>
      <c r="E49" s="1">
        <v>177</v>
      </c>
      <c r="F49" s="1">
        <v>8</v>
      </c>
      <c r="G49" s="1">
        <v>177</v>
      </c>
      <c r="H49" s="1">
        <v>177</v>
      </c>
      <c r="I49" s="1"/>
      <c r="J49" s="1"/>
      <c r="K49" s="79"/>
      <c r="L49" s="81">
        <v>2284000</v>
      </c>
    </row>
    <row r="50" spans="1:12" ht="21" customHeight="1">
      <c r="A50" s="11">
        <v>3</v>
      </c>
      <c r="B50" s="64" t="s">
        <v>142</v>
      </c>
      <c r="C50" s="1">
        <v>6</v>
      </c>
      <c r="D50" s="1">
        <v>142</v>
      </c>
      <c r="E50" s="1">
        <v>142</v>
      </c>
      <c r="F50" s="1">
        <v>6</v>
      </c>
      <c r="G50" s="1">
        <v>142</v>
      </c>
      <c r="H50" s="1">
        <v>142</v>
      </c>
      <c r="I50" s="1"/>
      <c r="J50" s="1"/>
      <c r="K50" s="79"/>
      <c r="L50" s="81">
        <v>2351000</v>
      </c>
    </row>
    <row r="51" spans="1:12" ht="21" customHeight="1">
      <c r="A51" s="11">
        <v>4</v>
      </c>
      <c r="B51" s="64" t="s">
        <v>153</v>
      </c>
      <c r="C51" s="1">
        <v>8</v>
      </c>
      <c r="D51" s="1">
        <v>280</v>
      </c>
      <c r="E51" s="1">
        <v>280</v>
      </c>
      <c r="F51" s="1">
        <v>8</v>
      </c>
      <c r="G51" s="1">
        <v>280</v>
      </c>
      <c r="H51" s="1">
        <v>280</v>
      </c>
      <c r="I51" s="1"/>
      <c r="J51" s="1"/>
      <c r="K51" s="79"/>
      <c r="L51" s="84">
        <v>3252000</v>
      </c>
    </row>
    <row r="52" spans="1:12" ht="21.75" customHeight="1">
      <c r="A52" s="11">
        <v>5</v>
      </c>
      <c r="B52" s="98" t="s">
        <v>174</v>
      </c>
      <c r="C52" s="1">
        <v>8</v>
      </c>
      <c r="D52" s="1">
        <v>273</v>
      </c>
      <c r="E52" s="1">
        <v>273</v>
      </c>
      <c r="F52" s="1">
        <v>8</v>
      </c>
      <c r="G52" s="1">
        <v>273</v>
      </c>
      <c r="H52" s="1">
        <v>273</v>
      </c>
      <c r="I52" s="1"/>
      <c r="J52" s="1"/>
      <c r="K52" s="79"/>
      <c r="L52" s="81">
        <v>3145000</v>
      </c>
    </row>
    <row r="53" spans="1:12" ht="21" customHeight="1">
      <c r="A53" s="9"/>
      <c r="B53" s="82" t="s">
        <v>82</v>
      </c>
      <c r="C53" s="85">
        <f aca="true" t="shared" si="3" ref="C53:L53">SUM(C48:C52)</f>
        <v>39</v>
      </c>
      <c r="D53" s="85">
        <f t="shared" si="3"/>
        <v>1174</v>
      </c>
      <c r="E53" s="85">
        <f t="shared" si="3"/>
        <v>1174</v>
      </c>
      <c r="F53" s="85">
        <f t="shared" si="3"/>
        <v>30</v>
      </c>
      <c r="G53" s="85">
        <f t="shared" si="3"/>
        <v>872</v>
      </c>
      <c r="H53" s="85">
        <f t="shared" si="3"/>
        <v>872</v>
      </c>
      <c r="I53" s="85">
        <f t="shared" si="3"/>
        <v>9</v>
      </c>
      <c r="J53" s="85">
        <f t="shared" si="3"/>
        <v>302</v>
      </c>
      <c r="K53" s="85">
        <f t="shared" si="3"/>
        <v>302</v>
      </c>
      <c r="L53" s="85">
        <f t="shared" si="3"/>
        <v>14543000</v>
      </c>
    </row>
  </sheetData>
  <sheetProtection/>
  <mergeCells count="44">
    <mergeCell ref="A30:A33"/>
    <mergeCell ref="B30:B33"/>
    <mergeCell ref="C30:L30"/>
    <mergeCell ref="C31:E31"/>
    <mergeCell ref="F31:K31"/>
    <mergeCell ref="L31:L33"/>
    <mergeCell ref="C32:C33"/>
    <mergeCell ref="D32:D33"/>
    <mergeCell ref="E32:E33"/>
    <mergeCell ref="F32:H32"/>
    <mergeCell ref="C19:C20"/>
    <mergeCell ref="D19:D20"/>
    <mergeCell ref="E19:E20"/>
    <mergeCell ref="F19:H19"/>
    <mergeCell ref="I32:K32"/>
    <mergeCell ref="I19:K19"/>
    <mergeCell ref="I45:K45"/>
    <mergeCell ref="A4:A7"/>
    <mergeCell ref="L5:L7"/>
    <mergeCell ref="C4:L4"/>
    <mergeCell ref="A17:A20"/>
    <mergeCell ref="B17:B20"/>
    <mergeCell ref="C17:L17"/>
    <mergeCell ref="C18:E18"/>
    <mergeCell ref="F18:K18"/>
    <mergeCell ref="L18:L20"/>
    <mergeCell ref="B4:B7"/>
    <mergeCell ref="C5:E5"/>
    <mergeCell ref="F5:K5"/>
    <mergeCell ref="C6:C7"/>
    <mergeCell ref="D6:D7"/>
    <mergeCell ref="E6:E7"/>
    <mergeCell ref="F6:H6"/>
    <mergeCell ref="I6:K6"/>
    <mergeCell ref="A43:A46"/>
    <mergeCell ref="B43:B46"/>
    <mergeCell ref="C43:L43"/>
    <mergeCell ref="C44:E44"/>
    <mergeCell ref="F44:K44"/>
    <mergeCell ref="L44:L46"/>
    <mergeCell ref="C45:C46"/>
    <mergeCell ref="D45:D46"/>
    <mergeCell ref="E45:E46"/>
    <mergeCell ref="F45:H45"/>
  </mergeCells>
  <printOptions horizontalCentered="1"/>
  <pageMargins left="0.5" right="0.5" top="0.75" bottom="0.5" header="0.5" footer="0.5"/>
  <pageSetup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PageLayoutView="0" workbookViewId="0" topLeftCell="A7">
      <selection activeCell="A4" sqref="A4:IV4"/>
    </sheetView>
  </sheetViews>
  <sheetFormatPr defaultColWidth="9.140625" defaultRowHeight="12.75"/>
  <cols>
    <col min="1" max="1" width="34.28125" style="0" customWidth="1"/>
    <col min="2" max="4" width="6.8515625" style="0" customWidth="1"/>
    <col min="5" max="6" width="6.57421875" style="0" customWidth="1"/>
    <col min="7" max="7" width="6.8515625" style="0" customWidth="1"/>
    <col min="8" max="8" width="7.8515625" style="0" customWidth="1"/>
    <col min="9" max="10" width="8.28125" style="0" customWidth="1"/>
    <col min="11" max="11" width="6.421875" style="0" customWidth="1"/>
    <col min="12" max="12" width="6.8515625" style="0" customWidth="1"/>
    <col min="13" max="13" width="8.28125" style="0" customWidth="1"/>
    <col min="14" max="19" width="6.8515625" style="0" customWidth="1"/>
  </cols>
  <sheetData>
    <row r="1" spans="1:19" s="49" customFormat="1" ht="18.75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49" customFormat="1" ht="18.75">
      <c r="A2" s="51" t="s">
        <v>110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49" customFormat="1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6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8.75">
      <c r="A5" s="242" t="s">
        <v>0</v>
      </c>
      <c r="B5" s="245" t="s">
        <v>102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</row>
    <row r="6" spans="1:19" ht="36" customHeight="1">
      <c r="A6" s="243"/>
      <c r="B6" s="225" t="s">
        <v>53</v>
      </c>
      <c r="C6" s="225" t="s">
        <v>54</v>
      </c>
      <c r="D6" s="225" t="s">
        <v>55</v>
      </c>
      <c r="E6" s="225" t="s">
        <v>56</v>
      </c>
      <c r="F6" s="225" t="s">
        <v>113</v>
      </c>
      <c r="G6" s="240" t="s">
        <v>111</v>
      </c>
      <c r="H6" s="240" t="s">
        <v>57</v>
      </c>
      <c r="I6" s="240" t="s">
        <v>58</v>
      </c>
      <c r="J6" s="240" t="s">
        <v>59</v>
      </c>
      <c r="K6" s="240" t="s">
        <v>61</v>
      </c>
      <c r="L6" s="240" t="s">
        <v>60</v>
      </c>
      <c r="M6" s="225" t="s">
        <v>103</v>
      </c>
      <c r="N6" s="225" t="s">
        <v>104</v>
      </c>
      <c r="O6" s="240" t="s">
        <v>105</v>
      </c>
      <c r="P6" s="225" t="s">
        <v>106</v>
      </c>
      <c r="Q6" s="240" t="s">
        <v>107</v>
      </c>
      <c r="R6" s="240" t="s">
        <v>108</v>
      </c>
      <c r="S6" s="240" t="s">
        <v>109</v>
      </c>
    </row>
    <row r="7" spans="1:19" ht="51" customHeight="1">
      <c r="A7" s="244"/>
      <c r="B7" s="225"/>
      <c r="C7" s="225"/>
      <c r="D7" s="225"/>
      <c r="E7" s="225"/>
      <c r="F7" s="225"/>
      <c r="G7" s="241"/>
      <c r="H7" s="241"/>
      <c r="I7" s="241"/>
      <c r="J7" s="241"/>
      <c r="K7" s="241"/>
      <c r="L7" s="241"/>
      <c r="M7" s="225"/>
      <c r="N7" s="225"/>
      <c r="O7" s="241"/>
      <c r="P7" s="225"/>
      <c r="Q7" s="241"/>
      <c r="R7" s="241"/>
      <c r="S7" s="241"/>
    </row>
    <row r="8" spans="1:19" ht="24" customHeight="1">
      <c r="A8" s="118" t="s">
        <v>149</v>
      </c>
      <c r="B8" s="221">
        <v>10</v>
      </c>
      <c r="C8" s="221">
        <v>40</v>
      </c>
      <c r="D8" s="221">
        <v>4</v>
      </c>
      <c r="E8" s="221">
        <v>0</v>
      </c>
      <c r="F8" s="221">
        <v>12</v>
      </c>
      <c r="G8" s="221">
        <v>12</v>
      </c>
      <c r="H8" s="221">
        <v>150</v>
      </c>
      <c r="I8" s="221">
        <v>100</v>
      </c>
      <c r="J8" s="221">
        <v>10</v>
      </c>
      <c r="K8" s="221">
        <v>1</v>
      </c>
      <c r="L8" s="221">
        <v>42</v>
      </c>
      <c r="M8" s="221">
        <v>72</v>
      </c>
      <c r="N8" s="221">
        <v>72</v>
      </c>
      <c r="O8" s="221">
        <v>360</v>
      </c>
      <c r="P8" s="221">
        <v>3</v>
      </c>
      <c r="Q8" s="221">
        <v>210</v>
      </c>
      <c r="R8" s="221">
        <v>0</v>
      </c>
      <c r="S8" s="221">
        <v>36</v>
      </c>
    </row>
    <row r="9" spans="1:19" ht="24" customHeight="1">
      <c r="A9" s="86" t="s">
        <v>131</v>
      </c>
      <c r="B9" s="178">
        <f>SUM(B10:B13)</f>
        <v>28</v>
      </c>
      <c r="C9" s="178">
        <f aca="true" t="shared" si="0" ref="C9:S9">SUM(C10:C13)</f>
        <v>31</v>
      </c>
      <c r="D9" s="178">
        <f t="shared" si="0"/>
        <v>8</v>
      </c>
      <c r="E9" s="178">
        <f t="shared" si="0"/>
        <v>3</v>
      </c>
      <c r="F9" s="178">
        <f t="shared" si="0"/>
        <v>186</v>
      </c>
      <c r="G9" s="178">
        <f t="shared" si="0"/>
        <v>431</v>
      </c>
      <c r="H9" s="178">
        <f t="shared" si="0"/>
        <v>360</v>
      </c>
      <c r="I9" s="178">
        <f t="shared" si="0"/>
        <v>150</v>
      </c>
      <c r="J9" s="178">
        <f t="shared" si="0"/>
        <v>110</v>
      </c>
      <c r="K9" s="178">
        <f t="shared" si="0"/>
        <v>12</v>
      </c>
      <c r="L9" s="178">
        <f t="shared" si="0"/>
        <v>106</v>
      </c>
      <c r="M9" s="178">
        <f t="shared" si="0"/>
        <v>19</v>
      </c>
      <c r="N9" s="178">
        <f t="shared" si="0"/>
        <v>13</v>
      </c>
      <c r="O9" s="178">
        <f t="shared" si="0"/>
        <v>100</v>
      </c>
      <c r="P9" s="178">
        <f t="shared" si="0"/>
        <v>45</v>
      </c>
      <c r="Q9" s="178">
        <f t="shared" si="0"/>
        <v>150</v>
      </c>
      <c r="R9" s="178">
        <f t="shared" si="0"/>
        <v>0</v>
      </c>
      <c r="S9" s="178">
        <f t="shared" si="0"/>
        <v>30</v>
      </c>
    </row>
    <row r="10" spans="1:19" ht="24" customHeight="1">
      <c r="A10" s="64" t="s">
        <v>138</v>
      </c>
      <c r="B10" s="221">
        <v>10</v>
      </c>
      <c r="C10" s="221">
        <v>25</v>
      </c>
      <c r="D10" s="221">
        <v>4</v>
      </c>
      <c r="E10" s="221">
        <v>3</v>
      </c>
      <c r="F10" s="221">
        <f>120</f>
        <v>120</v>
      </c>
      <c r="G10" s="221">
        <v>240</v>
      </c>
      <c r="H10" s="221">
        <v>240</v>
      </c>
      <c r="I10" s="221">
        <v>150</v>
      </c>
      <c r="J10" s="221"/>
      <c r="K10" s="221">
        <v>5</v>
      </c>
      <c r="L10" s="221">
        <v>40</v>
      </c>
      <c r="M10" s="221">
        <v>3</v>
      </c>
      <c r="N10" s="221">
        <v>5</v>
      </c>
      <c r="O10" s="221">
        <v>40</v>
      </c>
      <c r="P10" s="221">
        <v>3</v>
      </c>
      <c r="Q10" s="221"/>
      <c r="R10" s="221"/>
      <c r="S10" s="221"/>
    </row>
    <row r="11" spans="1:19" ht="24" customHeight="1">
      <c r="A11" s="64" t="s">
        <v>139</v>
      </c>
      <c r="B11" s="221">
        <v>15</v>
      </c>
      <c r="C11" s="221">
        <v>3</v>
      </c>
      <c r="D11" s="221">
        <v>1</v>
      </c>
      <c r="E11" s="221"/>
      <c r="F11" s="221">
        <v>30</v>
      </c>
      <c r="G11" s="221">
        <v>155</v>
      </c>
      <c r="H11" s="221">
        <v>50</v>
      </c>
      <c r="I11" s="221"/>
      <c r="J11" s="221">
        <v>30</v>
      </c>
      <c r="K11" s="221">
        <v>3</v>
      </c>
      <c r="L11" s="221">
        <v>40</v>
      </c>
      <c r="M11" s="221">
        <v>6</v>
      </c>
      <c r="N11" s="221">
        <v>3</v>
      </c>
      <c r="O11" s="221">
        <v>20</v>
      </c>
      <c r="P11" s="221">
        <v>20</v>
      </c>
      <c r="Q11" s="221">
        <v>50</v>
      </c>
      <c r="R11" s="221"/>
      <c r="S11" s="221">
        <v>5</v>
      </c>
    </row>
    <row r="12" spans="1:19" ht="24" customHeight="1">
      <c r="A12" s="64" t="s">
        <v>140</v>
      </c>
      <c r="B12" s="221">
        <v>1</v>
      </c>
      <c r="C12" s="221">
        <v>1</v>
      </c>
      <c r="D12" s="221">
        <v>1</v>
      </c>
      <c r="E12" s="221"/>
      <c r="F12" s="221">
        <v>6</v>
      </c>
      <c r="G12" s="221">
        <v>6</v>
      </c>
      <c r="H12" s="221">
        <v>10</v>
      </c>
      <c r="I12" s="221"/>
      <c r="J12" s="221">
        <v>20</v>
      </c>
      <c r="K12" s="221">
        <v>2</v>
      </c>
      <c r="L12" s="221">
        <v>11</v>
      </c>
      <c r="M12" s="221">
        <v>6</v>
      </c>
      <c r="N12" s="221">
        <v>3</v>
      </c>
      <c r="O12" s="221">
        <v>20</v>
      </c>
      <c r="P12" s="221">
        <v>2</v>
      </c>
      <c r="Q12" s="221">
        <v>50</v>
      </c>
      <c r="R12" s="221"/>
      <c r="S12" s="221">
        <v>10</v>
      </c>
    </row>
    <row r="13" spans="1:19" ht="24" customHeight="1">
      <c r="A13" s="64" t="s">
        <v>141</v>
      </c>
      <c r="B13" s="221">
        <v>2</v>
      </c>
      <c r="C13" s="221">
        <v>2</v>
      </c>
      <c r="D13" s="221">
        <v>2</v>
      </c>
      <c r="E13" s="221"/>
      <c r="F13" s="221">
        <v>30</v>
      </c>
      <c r="G13" s="221">
        <v>30</v>
      </c>
      <c r="H13" s="221">
        <v>60</v>
      </c>
      <c r="I13" s="221"/>
      <c r="J13" s="221">
        <v>60</v>
      </c>
      <c r="K13" s="221">
        <v>2</v>
      </c>
      <c r="L13" s="221">
        <v>15</v>
      </c>
      <c r="M13" s="221">
        <v>4</v>
      </c>
      <c r="N13" s="221">
        <v>2</v>
      </c>
      <c r="O13" s="221">
        <v>20</v>
      </c>
      <c r="P13" s="221">
        <v>20</v>
      </c>
      <c r="Q13" s="221">
        <v>50</v>
      </c>
      <c r="R13" s="221"/>
      <c r="S13" s="221">
        <v>15</v>
      </c>
    </row>
    <row r="14" spans="1:19" ht="24" customHeight="1">
      <c r="A14" s="86" t="s">
        <v>143</v>
      </c>
      <c r="B14" s="178">
        <f>SUM(B15:B17)</f>
        <v>6</v>
      </c>
      <c r="C14" s="178">
        <f aca="true" t="shared" si="1" ref="C14:S14">SUM(C15:C17)</f>
        <v>29</v>
      </c>
      <c r="D14" s="178">
        <f t="shared" si="1"/>
        <v>4</v>
      </c>
      <c r="E14" s="178">
        <f t="shared" si="1"/>
        <v>2</v>
      </c>
      <c r="F14" s="178">
        <f t="shared" si="1"/>
        <v>22</v>
      </c>
      <c r="G14" s="178">
        <f t="shared" si="1"/>
        <v>272</v>
      </c>
      <c r="H14" s="178">
        <f t="shared" si="1"/>
        <v>174</v>
      </c>
      <c r="I14" s="178">
        <f t="shared" si="1"/>
        <v>110</v>
      </c>
      <c r="J14" s="178">
        <f t="shared" si="1"/>
        <v>24</v>
      </c>
      <c r="K14" s="178">
        <f t="shared" si="1"/>
        <v>3</v>
      </c>
      <c r="L14" s="178">
        <f t="shared" si="1"/>
        <v>44</v>
      </c>
      <c r="M14" s="178">
        <f t="shared" si="1"/>
        <v>5</v>
      </c>
      <c r="N14" s="178">
        <f t="shared" si="1"/>
        <v>6</v>
      </c>
      <c r="O14" s="178">
        <f t="shared" si="1"/>
        <v>10</v>
      </c>
      <c r="P14" s="178">
        <f t="shared" si="1"/>
        <v>4</v>
      </c>
      <c r="Q14" s="178">
        <f t="shared" si="1"/>
        <v>11</v>
      </c>
      <c r="R14" s="178">
        <f t="shared" si="1"/>
        <v>3</v>
      </c>
      <c r="S14" s="178">
        <f t="shared" si="1"/>
        <v>8</v>
      </c>
    </row>
    <row r="15" spans="1:19" ht="24" customHeight="1">
      <c r="A15" s="118" t="s">
        <v>142</v>
      </c>
      <c r="B15" s="221">
        <v>3</v>
      </c>
      <c r="C15" s="221">
        <v>7</v>
      </c>
      <c r="D15" s="221">
        <v>1</v>
      </c>
      <c r="E15" s="221">
        <v>1</v>
      </c>
      <c r="F15" s="221">
        <v>2</v>
      </c>
      <c r="G15" s="221">
        <v>2</v>
      </c>
      <c r="H15" s="221">
        <v>54</v>
      </c>
      <c r="I15" s="221">
        <v>30</v>
      </c>
      <c r="J15" s="221">
        <v>18</v>
      </c>
      <c r="K15" s="221">
        <v>1</v>
      </c>
      <c r="L15" s="221">
        <v>24</v>
      </c>
      <c r="M15" s="221">
        <v>2</v>
      </c>
      <c r="N15" s="221">
        <v>3</v>
      </c>
      <c r="O15" s="221">
        <v>3</v>
      </c>
      <c r="P15" s="221">
        <v>2</v>
      </c>
      <c r="Q15" s="221">
        <v>4</v>
      </c>
      <c r="R15" s="221">
        <v>1</v>
      </c>
      <c r="S15" s="221">
        <v>6</v>
      </c>
    </row>
    <row r="16" spans="1:19" ht="24" customHeight="1">
      <c r="A16" s="101" t="s">
        <v>209</v>
      </c>
      <c r="B16" s="221">
        <v>1</v>
      </c>
      <c r="C16" s="221">
        <v>2</v>
      </c>
      <c r="D16" s="221">
        <v>1</v>
      </c>
      <c r="E16" s="221"/>
      <c r="F16" s="221">
        <v>5</v>
      </c>
      <c r="G16" s="221">
        <v>20</v>
      </c>
      <c r="H16" s="221">
        <v>20</v>
      </c>
      <c r="I16" s="221">
        <v>10</v>
      </c>
      <c r="J16" s="221"/>
      <c r="K16" s="221">
        <v>1</v>
      </c>
      <c r="L16" s="221"/>
      <c r="M16" s="221">
        <v>1</v>
      </c>
      <c r="N16" s="221">
        <v>1</v>
      </c>
      <c r="O16" s="221">
        <v>5</v>
      </c>
      <c r="P16" s="221">
        <v>1</v>
      </c>
      <c r="Q16" s="221">
        <v>5</v>
      </c>
      <c r="R16" s="221"/>
      <c r="S16" s="221"/>
    </row>
    <row r="17" spans="1:19" ht="24" customHeight="1">
      <c r="A17" s="118" t="s">
        <v>147</v>
      </c>
      <c r="B17" s="221">
        <v>2</v>
      </c>
      <c r="C17" s="221">
        <v>20</v>
      </c>
      <c r="D17" s="221">
        <v>2</v>
      </c>
      <c r="E17" s="221">
        <v>1</v>
      </c>
      <c r="F17" s="221">
        <v>15</v>
      </c>
      <c r="G17" s="221">
        <v>250</v>
      </c>
      <c r="H17" s="221">
        <v>100</v>
      </c>
      <c r="I17" s="221">
        <v>70</v>
      </c>
      <c r="J17" s="221">
        <v>6</v>
      </c>
      <c r="K17" s="221">
        <v>1</v>
      </c>
      <c r="L17" s="221">
        <v>20</v>
      </c>
      <c r="M17" s="221">
        <v>2</v>
      </c>
      <c r="N17" s="221">
        <v>2</v>
      </c>
      <c r="O17" s="221">
        <v>2</v>
      </c>
      <c r="P17" s="221">
        <v>1</v>
      </c>
      <c r="Q17" s="221">
        <v>2</v>
      </c>
      <c r="R17" s="221">
        <v>2</v>
      </c>
      <c r="S17" s="221">
        <v>2</v>
      </c>
    </row>
    <row r="18" spans="1:19" ht="24" customHeight="1">
      <c r="A18" s="174" t="s">
        <v>156</v>
      </c>
      <c r="B18" s="179">
        <f>SUM(B19:B27)</f>
        <v>24</v>
      </c>
      <c r="C18" s="179">
        <f aca="true" t="shared" si="2" ref="C18:S18">SUM(C19:C27)</f>
        <v>70</v>
      </c>
      <c r="D18" s="179">
        <f t="shared" si="2"/>
        <v>17</v>
      </c>
      <c r="E18" s="179">
        <f t="shared" si="2"/>
        <v>13</v>
      </c>
      <c r="F18" s="179">
        <f t="shared" si="2"/>
        <v>43</v>
      </c>
      <c r="G18" s="179">
        <f t="shared" si="2"/>
        <v>1035</v>
      </c>
      <c r="H18" s="179">
        <f t="shared" si="2"/>
        <v>1133</v>
      </c>
      <c r="I18" s="179">
        <f t="shared" si="2"/>
        <v>660</v>
      </c>
      <c r="J18" s="179">
        <f t="shared" si="2"/>
        <v>280</v>
      </c>
      <c r="K18" s="179">
        <f t="shared" si="2"/>
        <v>15</v>
      </c>
      <c r="L18" s="179">
        <f t="shared" si="2"/>
        <v>140</v>
      </c>
      <c r="M18" s="179">
        <f t="shared" si="2"/>
        <v>41</v>
      </c>
      <c r="N18" s="179">
        <f t="shared" si="2"/>
        <v>32</v>
      </c>
      <c r="O18" s="179">
        <f t="shared" si="2"/>
        <v>260</v>
      </c>
      <c r="P18" s="179">
        <f t="shared" si="2"/>
        <v>16</v>
      </c>
      <c r="Q18" s="179">
        <f t="shared" si="2"/>
        <v>74</v>
      </c>
      <c r="R18" s="179">
        <f t="shared" si="2"/>
        <v>60</v>
      </c>
      <c r="S18" s="179">
        <f t="shared" si="2"/>
        <v>290</v>
      </c>
    </row>
    <row r="19" spans="1:19" ht="24" customHeight="1">
      <c r="A19" s="118" t="s">
        <v>153</v>
      </c>
      <c r="B19" s="221">
        <v>2</v>
      </c>
      <c r="C19" s="221">
        <v>2</v>
      </c>
      <c r="D19" s="221">
        <v>2</v>
      </c>
      <c r="E19" s="221">
        <v>1</v>
      </c>
      <c r="F19" s="221">
        <v>6</v>
      </c>
      <c r="G19" s="221">
        <v>215</v>
      </c>
      <c r="H19" s="221">
        <v>105</v>
      </c>
      <c r="I19" s="221">
        <v>105</v>
      </c>
      <c r="J19" s="221"/>
      <c r="K19" s="221">
        <v>1</v>
      </c>
      <c r="L19" s="221">
        <v>11</v>
      </c>
      <c r="M19" s="221">
        <v>1</v>
      </c>
      <c r="N19" s="221">
        <v>1</v>
      </c>
      <c r="O19" s="221">
        <v>10</v>
      </c>
      <c r="P19" s="221">
        <v>2</v>
      </c>
      <c r="Q19" s="221">
        <v>35</v>
      </c>
      <c r="R19" s="221"/>
      <c r="S19" s="221">
        <v>20</v>
      </c>
    </row>
    <row r="20" spans="1:19" ht="24" customHeight="1">
      <c r="A20" s="118" t="s">
        <v>172</v>
      </c>
      <c r="B20" s="221">
        <v>1</v>
      </c>
      <c r="C20" s="221">
        <v>4</v>
      </c>
      <c r="D20" s="221">
        <v>1</v>
      </c>
      <c r="E20" s="221">
        <v>1</v>
      </c>
      <c r="F20" s="221">
        <v>4</v>
      </c>
      <c r="G20" s="221">
        <v>100</v>
      </c>
      <c r="H20" s="221">
        <v>100</v>
      </c>
      <c r="I20" s="221">
        <v>50</v>
      </c>
      <c r="J20" s="221">
        <v>20</v>
      </c>
      <c r="K20" s="221">
        <v>1</v>
      </c>
      <c r="L20" s="221">
        <v>12</v>
      </c>
      <c r="M20" s="221">
        <v>5</v>
      </c>
      <c r="N20" s="221">
        <v>3</v>
      </c>
      <c r="O20" s="221">
        <v>50</v>
      </c>
      <c r="P20" s="221">
        <v>2</v>
      </c>
      <c r="Q20" s="221">
        <v>5</v>
      </c>
      <c r="R20" s="221">
        <v>10</v>
      </c>
      <c r="S20" s="221">
        <v>50</v>
      </c>
    </row>
    <row r="21" spans="1:19" ht="24" customHeight="1">
      <c r="A21" s="118" t="s">
        <v>157</v>
      </c>
      <c r="B21" s="221">
        <v>5</v>
      </c>
      <c r="C21" s="221">
        <v>10</v>
      </c>
      <c r="D21" s="221">
        <v>2</v>
      </c>
      <c r="E21" s="221">
        <v>2</v>
      </c>
      <c r="F21" s="221">
        <v>4</v>
      </c>
      <c r="G21" s="221">
        <v>100</v>
      </c>
      <c r="H21" s="221">
        <v>220</v>
      </c>
      <c r="I21" s="221">
        <v>100</v>
      </c>
      <c r="J21" s="221">
        <v>50</v>
      </c>
      <c r="K21" s="221">
        <v>2</v>
      </c>
      <c r="L21" s="221">
        <v>25</v>
      </c>
      <c r="M21" s="221">
        <v>5</v>
      </c>
      <c r="N21" s="221">
        <v>5</v>
      </c>
      <c r="O21" s="221">
        <v>30</v>
      </c>
      <c r="P21" s="221">
        <v>2</v>
      </c>
      <c r="Q21" s="221">
        <v>5</v>
      </c>
      <c r="R21" s="221">
        <v>10</v>
      </c>
      <c r="S21" s="221">
        <v>50</v>
      </c>
    </row>
    <row r="22" spans="1:19" ht="24" customHeight="1">
      <c r="A22" s="118" t="s">
        <v>165</v>
      </c>
      <c r="B22" s="221">
        <v>2</v>
      </c>
      <c r="C22" s="221">
        <v>10</v>
      </c>
      <c r="D22" s="221">
        <v>2</v>
      </c>
      <c r="E22" s="221">
        <v>2</v>
      </c>
      <c r="F22" s="221">
        <v>4</v>
      </c>
      <c r="G22" s="221">
        <v>100</v>
      </c>
      <c r="H22" s="221">
        <v>50</v>
      </c>
      <c r="I22" s="221">
        <v>40</v>
      </c>
      <c r="J22" s="221">
        <v>20</v>
      </c>
      <c r="K22" s="221">
        <v>2</v>
      </c>
      <c r="L22" s="221">
        <v>25</v>
      </c>
      <c r="M22" s="221">
        <v>5</v>
      </c>
      <c r="N22" s="221">
        <v>5</v>
      </c>
      <c r="O22" s="221">
        <v>10</v>
      </c>
      <c r="P22" s="221">
        <v>2</v>
      </c>
      <c r="Q22" s="221">
        <v>5</v>
      </c>
      <c r="R22" s="221">
        <v>10</v>
      </c>
      <c r="S22" s="221">
        <v>30</v>
      </c>
    </row>
    <row r="23" spans="1:19" ht="24" customHeight="1">
      <c r="A23" s="118" t="s">
        <v>166</v>
      </c>
      <c r="B23" s="221">
        <v>2</v>
      </c>
      <c r="C23" s="221">
        <v>10</v>
      </c>
      <c r="D23" s="221">
        <v>2</v>
      </c>
      <c r="E23" s="221">
        <v>1</v>
      </c>
      <c r="F23" s="221">
        <v>4</v>
      </c>
      <c r="G23" s="221">
        <v>100</v>
      </c>
      <c r="H23" s="221">
        <v>50</v>
      </c>
      <c r="I23" s="221">
        <v>20</v>
      </c>
      <c r="J23" s="221">
        <v>10</v>
      </c>
      <c r="K23" s="221">
        <v>2</v>
      </c>
      <c r="L23" s="221">
        <v>15</v>
      </c>
      <c r="M23" s="221">
        <v>5</v>
      </c>
      <c r="N23" s="221">
        <v>2</v>
      </c>
      <c r="O23" s="221">
        <v>50</v>
      </c>
      <c r="P23" s="221">
        <v>2</v>
      </c>
      <c r="Q23" s="221">
        <v>5</v>
      </c>
      <c r="R23" s="221">
        <v>5</v>
      </c>
      <c r="S23" s="221">
        <v>20</v>
      </c>
    </row>
    <row r="24" spans="1:19" ht="24" customHeight="1">
      <c r="A24" s="118" t="s">
        <v>167</v>
      </c>
      <c r="B24" s="221">
        <v>5</v>
      </c>
      <c r="C24" s="221">
        <v>10</v>
      </c>
      <c r="D24" s="221">
        <v>3</v>
      </c>
      <c r="E24" s="221">
        <v>3</v>
      </c>
      <c r="F24" s="221">
        <v>4</v>
      </c>
      <c r="G24" s="221">
        <v>100</v>
      </c>
      <c r="H24" s="221">
        <v>250</v>
      </c>
      <c r="I24" s="221">
        <v>120</v>
      </c>
      <c r="J24" s="221">
        <v>130</v>
      </c>
      <c r="K24" s="221">
        <v>2</v>
      </c>
      <c r="L24" s="221">
        <v>10</v>
      </c>
      <c r="M24" s="221">
        <v>5</v>
      </c>
      <c r="N24" s="221">
        <v>4</v>
      </c>
      <c r="O24" s="221">
        <v>40</v>
      </c>
      <c r="P24" s="221">
        <v>2</v>
      </c>
      <c r="Q24" s="221">
        <v>5</v>
      </c>
      <c r="R24" s="221">
        <v>10</v>
      </c>
      <c r="S24" s="221">
        <v>50</v>
      </c>
    </row>
    <row r="25" spans="1:19" ht="24" customHeight="1">
      <c r="A25" s="118" t="s">
        <v>168</v>
      </c>
      <c r="B25" s="222">
        <v>5</v>
      </c>
      <c r="C25" s="222">
        <v>10</v>
      </c>
      <c r="D25" s="222">
        <v>1</v>
      </c>
      <c r="E25" s="222">
        <v>1</v>
      </c>
      <c r="F25" s="222">
        <v>4</v>
      </c>
      <c r="G25" s="221">
        <v>100</v>
      </c>
      <c r="H25" s="222">
        <v>300</v>
      </c>
      <c r="I25" s="222">
        <v>150</v>
      </c>
      <c r="J25" s="222">
        <v>30</v>
      </c>
      <c r="K25" s="222">
        <v>2</v>
      </c>
      <c r="L25" s="222">
        <v>15</v>
      </c>
      <c r="M25" s="222">
        <v>5</v>
      </c>
      <c r="N25" s="222">
        <v>2</v>
      </c>
      <c r="O25" s="222">
        <v>50</v>
      </c>
      <c r="P25" s="222">
        <v>2</v>
      </c>
      <c r="Q25" s="222">
        <v>5</v>
      </c>
      <c r="R25" s="222">
        <v>0</v>
      </c>
      <c r="S25" s="222">
        <v>30</v>
      </c>
    </row>
    <row r="26" spans="1:19" ht="24" customHeight="1">
      <c r="A26" s="118" t="s">
        <v>169</v>
      </c>
      <c r="B26" s="221">
        <v>1</v>
      </c>
      <c r="C26" s="221">
        <v>4</v>
      </c>
      <c r="D26" s="221">
        <v>2</v>
      </c>
      <c r="E26" s="221">
        <v>1</v>
      </c>
      <c r="F26" s="221">
        <v>4</v>
      </c>
      <c r="G26" s="221">
        <v>100</v>
      </c>
      <c r="H26" s="221">
        <v>50</v>
      </c>
      <c r="I26" s="221">
        <v>50</v>
      </c>
      <c r="J26" s="221">
        <v>10</v>
      </c>
      <c r="K26" s="221">
        <v>2</v>
      </c>
      <c r="L26" s="221">
        <v>15</v>
      </c>
      <c r="M26" s="221">
        <v>5</v>
      </c>
      <c r="N26" s="221">
        <v>5</v>
      </c>
      <c r="O26" s="221">
        <v>10</v>
      </c>
      <c r="P26" s="221">
        <v>1</v>
      </c>
      <c r="Q26" s="221">
        <v>5</v>
      </c>
      <c r="R26" s="221">
        <v>10</v>
      </c>
      <c r="S26" s="221">
        <v>20</v>
      </c>
    </row>
    <row r="27" spans="1:19" ht="24" customHeight="1">
      <c r="A27" s="118" t="s">
        <v>170</v>
      </c>
      <c r="B27" s="221">
        <v>1</v>
      </c>
      <c r="C27" s="221">
        <v>10</v>
      </c>
      <c r="D27" s="221">
        <v>2</v>
      </c>
      <c r="E27" s="221">
        <v>1</v>
      </c>
      <c r="F27" s="221">
        <v>9</v>
      </c>
      <c r="G27" s="221">
        <v>120</v>
      </c>
      <c r="H27" s="221">
        <v>8</v>
      </c>
      <c r="I27" s="221">
        <v>25</v>
      </c>
      <c r="J27" s="221">
        <v>10</v>
      </c>
      <c r="K27" s="221">
        <v>1</v>
      </c>
      <c r="L27" s="221">
        <v>12</v>
      </c>
      <c r="M27" s="221">
        <v>5</v>
      </c>
      <c r="N27" s="221">
        <v>5</v>
      </c>
      <c r="O27" s="221">
        <v>10</v>
      </c>
      <c r="P27" s="221">
        <v>1</v>
      </c>
      <c r="Q27" s="221">
        <v>4</v>
      </c>
      <c r="R27" s="221">
        <v>5</v>
      </c>
      <c r="S27" s="221">
        <v>20</v>
      </c>
    </row>
    <row r="28" spans="1:19" ht="24" customHeight="1">
      <c r="A28" s="174" t="s">
        <v>180</v>
      </c>
      <c r="B28" s="179">
        <f>SUM(B29:B37)</f>
        <v>43</v>
      </c>
      <c r="C28" s="179">
        <f aca="true" t="shared" si="3" ref="C28:S28">SUM(C29:C37)</f>
        <v>142</v>
      </c>
      <c r="D28" s="179">
        <f t="shared" si="3"/>
        <v>25</v>
      </c>
      <c r="E28" s="179">
        <f t="shared" si="3"/>
        <v>18</v>
      </c>
      <c r="F28" s="179">
        <f t="shared" si="3"/>
        <v>275</v>
      </c>
      <c r="G28" s="179">
        <f t="shared" si="3"/>
        <v>835</v>
      </c>
      <c r="H28" s="179">
        <f t="shared" si="3"/>
        <v>1050</v>
      </c>
      <c r="I28" s="179">
        <f t="shared" si="3"/>
        <v>408</v>
      </c>
      <c r="J28" s="179">
        <f t="shared" si="3"/>
        <v>240</v>
      </c>
      <c r="K28" s="179">
        <f t="shared" si="3"/>
        <v>27</v>
      </c>
      <c r="L28" s="179">
        <f t="shared" si="3"/>
        <v>138</v>
      </c>
      <c r="M28" s="179">
        <f t="shared" si="3"/>
        <v>95</v>
      </c>
      <c r="N28" s="179">
        <f t="shared" si="3"/>
        <v>80</v>
      </c>
      <c r="O28" s="179">
        <f t="shared" si="3"/>
        <v>196</v>
      </c>
      <c r="P28" s="179">
        <f t="shared" si="3"/>
        <v>94</v>
      </c>
      <c r="Q28" s="179">
        <f t="shared" si="3"/>
        <v>349</v>
      </c>
      <c r="R28" s="179">
        <f t="shared" si="3"/>
        <v>84</v>
      </c>
      <c r="S28" s="179">
        <f t="shared" si="3"/>
        <v>151</v>
      </c>
    </row>
    <row r="29" spans="1:19" ht="24" customHeight="1">
      <c r="A29" s="93" t="s">
        <v>173</v>
      </c>
      <c r="B29" s="221">
        <v>5</v>
      </c>
      <c r="C29" s="221">
        <v>30</v>
      </c>
      <c r="D29" s="221">
        <v>3</v>
      </c>
      <c r="E29" s="221"/>
      <c r="F29" s="221">
        <v>11</v>
      </c>
      <c r="G29" s="221">
        <v>200</v>
      </c>
      <c r="H29" s="221">
        <v>100</v>
      </c>
      <c r="I29" s="221">
        <v>30</v>
      </c>
      <c r="J29" s="221">
        <v>0</v>
      </c>
      <c r="K29" s="221">
        <v>1</v>
      </c>
      <c r="L29" s="221">
        <v>12</v>
      </c>
      <c r="M29" s="221">
        <v>3</v>
      </c>
      <c r="N29" s="221">
        <v>10</v>
      </c>
      <c r="O29" s="221">
        <v>10</v>
      </c>
      <c r="P29" s="221">
        <v>1</v>
      </c>
      <c r="Q29" s="221">
        <v>10</v>
      </c>
      <c r="R29" s="221">
        <v>0</v>
      </c>
      <c r="S29" s="221">
        <v>10</v>
      </c>
    </row>
    <row r="30" spans="1:19" ht="24" customHeight="1">
      <c r="A30" s="175" t="s">
        <v>198</v>
      </c>
      <c r="B30" s="222">
        <v>5</v>
      </c>
      <c r="C30" s="222">
        <v>10</v>
      </c>
      <c r="D30" s="222">
        <v>3</v>
      </c>
      <c r="E30" s="222">
        <v>1</v>
      </c>
      <c r="F30" s="222">
        <v>4</v>
      </c>
      <c r="G30" s="222">
        <v>50</v>
      </c>
      <c r="H30" s="222">
        <v>70</v>
      </c>
      <c r="I30" s="222">
        <v>18</v>
      </c>
      <c r="J30" s="222">
        <v>5</v>
      </c>
      <c r="K30" s="222">
        <v>2</v>
      </c>
      <c r="L30" s="222">
        <v>10</v>
      </c>
      <c r="M30" s="222">
        <v>2</v>
      </c>
      <c r="N30" s="222">
        <v>1</v>
      </c>
      <c r="O30" s="222">
        <v>1</v>
      </c>
      <c r="P30" s="222">
        <v>1</v>
      </c>
      <c r="Q30" s="222">
        <v>20</v>
      </c>
      <c r="R30" s="222">
        <v>1</v>
      </c>
      <c r="S30" s="222">
        <v>1</v>
      </c>
    </row>
    <row r="31" spans="1:19" ht="24" customHeight="1">
      <c r="A31" s="175" t="s">
        <v>177</v>
      </c>
      <c r="B31" s="222">
        <v>2</v>
      </c>
      <c r="C31" s="222">
        <v>5</v>
      </c>
      <c r="D31" s="222">
        <v>2</v>
      </c>
      <c r="E31" s="222">
        <v>2</v>
      </c>
      <c r="F31" s="222">
        <v>200</v>
      </c>
      <c r="G31" s="222">
        <v>300</v>
      </c>
      <c r="H31" s="222">
        <v>200</v>
      </c>
      <c r="I31" s="222">
        <v>20</v>
      </c>
      <c r="J31" s="222">
        <v>50</v>
      </c>
      <c r="K31" s="222">
        <v>1</v>
      </c>
      <c r="L31" s="222">
        <v>5</v>
      </c>
      <c r="M31" s="222">
        <v>2</v>
      </c>
      <c r="N31" s="222">
        <v>2</v>
      </c>
      <c r="O31" s="222">
        <v>20</v>
      </c>
      <c r="P31" s="222">
        <v>10</v>
      </c>
      <c r="Q31" s="222">
        <v>10</v>
      </c>
      <c r="R31" s="222">
        <v>10</v>
      </c>
      <c r="S31" s="222">
        <v>30</v>
      </c>
    </row>
    <row r="32" spans="1:19" ht="24" customHeight="1">
      <c r="A32" s="175" t="s">
        <v>199</v>
      </c>
      <c r="B32" s="222">
        <v>5</v>
      </c>
      <c r="C32" s="222">
        <v>7</v>
      </c>
      <c r="D32" s="222">
        <v>2</v>
      </c>
      <c r="E32" s="222">
        <v>1</v>
      </c>
      <c r="F32" s="222">
        <v>9</v>
      </c>
      <c r="G32" s="222">
        <v>9</v>
      </c>
      <c r="H32" s="222">
        <v>50</v>
      </c>
      <c r="I32" s="222">
        <v>10</v>
      </c>
      <c r="J32" s="222">
        <v>5</v>
      </c>
      <c r="K32" s="222">
        <v>3</v>
      </c>
      <c r="L32" s="222">
        <v>15</v>
      </c>
      <c r="M32" s="222">
        <v>20</v>
      </c>
      <c r="N32" s="222">
        <v>20</v>
      </c>
      <c r="O32" s="222">
        <v>25</v>
      </c>
      <c r="P32" s="222">
        <v>2</v>
      </c>
      <c r="Q32" s="222">
        <v>80</v>
      </c>
      <c r="R32" s="222">
        <v>15</v>
      </c>
      <c r="S32" s="222">
        <v>30</v>
      </c>
    </row>
    <row r="33" spans="1:19" ht="24" customHeight="1">
      <c r="A33" s="175" t="s">
        <v>200</v>
      </c>
      <c r="B33" s="222">
        <v>10</v>
      </c>
      <c r="C33" s="222">
        <v>30</v>
      </c>
      <c r="D33" s="222">
        <v>4</v>
      </c>
      <c r="E33" s="222">
        <v>2</v>
      </c>
      <c r="F33" s="222">
        <v>8</v>
      </c>
      <c r="G33" s="222">
        <v>8</v>
      </c>
      <c r="H33" s="222">
        <v>30</v>
      </c>
      <c r="I33" s="222">
        <v>10</v>
      </c>
      <c r="J33" s="222">
        <v>10</v>
      </c>
      <c r="K33" s="222">
        <v>4</v>
      </c>
      <c r="L33" s="222">
        <v>6</v>
      </c>
      <c r="M33" s="222">
        <v>15</v>
      </c>
      <c r="N33" s="222">
        <v>5</v>
      </c>
      <c r="O33" s="222">
        <v>40</v>
      </c>
      <c r="P33" s="222">
        <v>30</v>
      </c>
      <c r="Q33" s="222">
        <v>20</v>
      </c>
      <c r="R33" s="222">
        <v>20</v>
      </c>
      <c r="S33" s="222">
        <v>30</v>
      </c>
    </row>
    <row r="34" spans="1:19" ht="24" customHeight="1">
      <c r="A34" s="175" t="s">
        <v>201</v>
      </c>
      <c r="B34" s="222">
        <v>3</v>
      </c>
      <c r="C34" s="222">
        <v>15</v>
      </c>
      <c r="D34" s="222">
        <v>2</v>
      </c>
      <c r="E34" s="222">
        <v>2</v>
      </c>
      <c r="F34" s="222">
        <v>8</v>
      </c>
      <c r="G34" s="222">
        <v>10</v>
      </c>
      <c r="H34" s="222">
        <v>50</v>
      </c>
      <c r="I34" s="222">
        <v>20</v>
      </c>
      <c r="J34" s="222">
        <v>10</v>
      </c>
      <c r="K34" s="222">
        <v>3</v>
      </c>
      <c r="L34" s="222">
        <v>15</v>
      </c>
      <c r="M34" s="222">
        <v>10</v>
      </c>
      <c r="N34" s="222">
        <v>10</v>
      </c>
      <c r="O34" s="222">
        <v>10</v>
      </c>
      <c r="P34" s="222">
        <v>10</v>
      </c>
      <c r="Q34" s="222">
        <v>10</v>
      </c>
      <c r="R34" s="222">
        <v>10</v>
      </c>
      <c r="S34" s="222">
        <v>10</v>
      </c>
    </row>
    <row r="35" spans="1:19" ht="24" customHeight="1">
      <c r="A35" s="175" t="s">
        <v>202</v>
      </c>
      <c r="B35" s="222">
        <v>5</v>
      </c>
      <c r="C35" s="222">
        <v>20</v>
      </c>
      <c r="D35" s="222">
        <v>5</v>
      </c>
      <c r="E35" s="222">
        <v>5</v>
      </c>
      <c r="F35" s="222">
        <v>15</v>
      </c>
      <c r="G35" s="222">
        <v>50</v>
      </c>
      <c r="H35" s="222">
        <v>300</v>
      </c>
      <c r="I35" s="222">
        <v>50</v>
      </c>
      <c r="J35" s="222">
        <v>100</v>
      </c>
      <c r="K35" s="222">
        <v>5</v>
      </c>
      <c r="L35" s="222">
        <v>20</v>
      </c>
      <c r="M35" s="222">
        <v>10</v>
      </c>
      <c r="N35" s="222">
        <v>10</v>
      </c>
      <c r="O35" s="222">
        <v>20</v>
      </c>
      <c r="P35" s="222">
        <v>5</v>
      </c>
      <c r="Q35" s="222">
        <v>50</v>
      </c>
      <c r="R35" s="222">
        <v>5</v>
      </c>
      <c r="S35" s="222">
        <v>10</v>
      </c>
    </row>
    <row r="36" spans="1:19" ht="24" customHeight="1">
      <c r="A36" s="175" t="s">
        <v>203</v>
      </c>
      <c r="B36" s="222">
        <v>5</v>
      </c>
      <c r="C36" s="222">
        <v>10</v>
      </c>
      <c r="D36" s="222">
        <v>1</v>
      </c>
      <c r="E36" s="222">
        <v>1</v>
      </c>
      <c r="F36" s="222">
        <v>4</v>
      </c>
      <c r="G36" s="222">
        <v>200</v>
      </c>
      <c r="H36" s="222">
        <v>100</v>
      </c>
      <c r="I36" s="222">
        <v>50</v>
      </c>
      <c r="J36" s="222">
        <v>30</v>
      </c>
      <c r="K36" s="222">
        <v>5</v>
      </c>
      <c r="L36" s="222">
        <v>30</v>
      </c>
      <c r="M36" s="222">
        <v>30</v>
      </c>
      <c r="N36" s="222">
        <v>20</v>
      </c>
      <c r="O36" s="222">
        <v>50</v>
      </c>
      <c r="P36" s="222">
        <v>30</v>
      </c>
      <c r="Q36" s="222">
        <v>50</v>
      </c>
      <c r="R36" s="222">
        <v>20</v>
      </c>
      <c r="S36" s="222">
        <v>20</v>
      </c>
    </row>
    <row r="37" spans="1:19" ht="24" customHeight="1">
      <c r="A37" s="175" t="s">
        <v>204</v>
      </c>
      <c r="B37" s="222">
        <v>3</v>
      </c>
      <c r="C37" s="222">
        <v>15</v>
      </c>
      <c r="D37" s="222">
        <v>3</v>
      </c>
      <c r="E37" s="222">
        <v>4</v>
      </c>
      <c r="F37" s="222">
        <v>16</v>
      </c>
      <c r="G37" s="222">
        <v>8</v>
      </c>
      <c r="H37" s="222">
        <v>150</v>
      </c>
      <c r="I37" s="222">
        <v>200</v>
      </c>
      <c r="J37" s="222">
        <v>30</v>
      </c>
      <c r="K37" s="222">
        <v>3</v>
      </c>
      <c r="L37" s="222">
        <v>25</v>
      </c>
      <c r="M37" s="222">
        <v>3</v>
      </c>
      <c r="N37" s="222">
        <v>2</v>
      </c>
      <c r="O37" s="222">
        <v>20</v>
      </c>
      <c r="P37" s="222">
        <v>5</v>
      </c>
      <c r="Q37" s="222">
        <v>99</v>
      </c>
      <c r="R37" s="222">
        <v>3</v>
      </c>
      <c r="S37" s="222">
        <v>10</v>
      </c>
    </row>
    <row r="38" spans="1:19" s="8" customFormat="1" ht="21.75" customHeight="1">
      <c r="A38" s="220" t="s">
        <v>112</v>
      </c>
      <c r="B38" s="223">
        <f aca="true" t="shared" si="4" ref="B38:S38">B8+B9+B14+B18+B28</f>
        <v>111</v>
      </c>
      <c r="C38" s="223">
        <f t="shared" si="4"/>
        <v>312</v>
      </c>
      <c r="D38" s="223">
        <f t="shared" si="4"/>
        <v>58</v>
      </c>
      <c r="E38" s="223">
        <f t="shared" si="4"/>
        <v>36</v>
      </c>
      <c r="F38" s="223">
        <f t="shared" si="4"/>
        <v>538</v>
      </c>
      <c r="G38" s="223">
        <f t="shared" si="4"/>
        <v>2585</v>
      </c>
      <c r="H38" s="223">
        <f t="shared" si="4"/>
        <v>2867</v>
      </c>
      <c r="I38" s="223">
        <f t="shared" si="4"/>
        <v>1428</v>
      </c>
      <c r="J38" s="223">
        <f t="shared" si="4"/>
        <v>664</v>
      </c>
      <c r="K38" s="223">
        <f t="shared" si="4"/>
        <v>58</v>
      </c>
      <c r="L38" s="223">
        <f t="shared" si="4"/>
        <v>470</v>
      </c>
      <c r="M38" s="223">
        <f t="shared" si="4"/>
        <v>232</v>
      </c>
      <c r="N38" s="223">
        <f t="shared" si="4"/>
        <v>203</v>
      </c>
      <c r="O38" s="223">
        <f t="shared" si="4"/>
        <v>926</v>
      </c>
      <c r="P38" s="223">
        <f t="shared" si="4"/>
        <v>162</v>
      </c>
      <c r="Q38" s="223">
        <f t="shared" si="4"/>
        <v>794</v>
      </c>
      <c r="R38" s="223">
        <f t="shared" si="4"/>
        <v>147</v>
      </c>
      <c r="S38" s="223">
        <f t="shared" si="4"/>
        <v>515</v>
      </c>
    </row>
    <row r="39" spans="1:19" ht="24" customHeight="1">
      <c r="A39" s="124" t="s">
        <v>264</v>
      </c>
      <c r="B39" s="224">
        <f>B38*9</f>
        <v>999</v>
      </c>
      <c r="C39" s="224">
        <f>C38*10</f>
        <v>3120</v>
      </c>
      <c r="D39" s="224">
        <f>D38*20</f>
        <v>1160</v>
      </c>
      <c r="E39" s="224">
        <f>E38*5</f>
        <v>180</v>
      </c>
      <c r="F39" s="224">
        <f>F38*5.5</f>
        <v>2959</v>
      </c>
      <c r="G39" s="224">
        <f>PhulucIX!G38*0.5</f>
        <v>1292.5</v>
      </c>
      <c r="H39" s="224">
        <f>H38*1.2</f>
        <v>3440.4</v>
      </c>
      <c r="I39" s="224">
        <f>I38*2.5</f>
        <v>3570</v>
      </c>
      <c r="J39" s="224">
        <f>J38*1.7</f>
        <v>1128.8</v>
      </c>
      <c r="K39" s="224">
        <f>K38*10</f>
        <v>580</v>
      </c>
      <c r="L39" s="224">
        <f>L38*2.5</f>
        <v>1175</v>
      </c>
      <c r="M39" s="224">
        <f>M38*3</f>
        <v>696</v>
      </c>
      <c r="N39" s="224">
        <f>N38*3</f>
        <v>609</v>
      </c>
      <c r="O39" s="224">
        <f>O38*0.7</f>
        <v>648.1999999999999</v>
      </c>
      <c r="P39" s="224">
        <f>P38*1</f>
        <v>162</v>
      </c>
      <c r="Q39" s="224">
        <f>Q38*0.15</f>
        <v>119.1</v>
      </c>
      <c r="R39" s="224">
        <f>R38*1</f>
        <v>147</v>
      </c>
      <c r="S39" s="224">
        <f>S38*1</f>
        <v>515</v>
      </c>
    </row>
    <row r="40" spans="1:19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</sheetData>
  <sheetProtection/>
  <mergeCells count="20">
    <mergeCell ref="Q6:Q7"/>
    <mergeCell ref="R6:R7"/>
    <mergeCell ref="D6:D7"/>
    <mergeCell ref="I6:I7"/>
    <mergeCell ref="G6:G7"/>
    <mergeCell ref="H6:H7"/>
    <mergeCell ref="O6:O7"/>
    <mergeCell ref="F6:F7"/>
    <mergeCell ref="M6:M7"/>
    <mergeCell ref="N6:N7"/>
    <mergeCell ref="C6:C7"/>
    <mergeCell ref="J6:J7"/>
    <mergeCell ref="E6:E7"/>
    <mergeCell ref="K6:K7"/>
    <mergeCell ref="L6:L7"/>
    <mergeCell ref="A5:A7"/>
    <mergeCell ref="B5:S5"/>
    <mergeCell ref="B6:B7"/>
    <mergeCell ref="S6:S7"/>
    <mergeCell ref="P6:P7"/>
  </mergeCells>
  <printOptions horizontalCentered="1"/>
  <pageMargins left="0.25" right="0.25" top="0.75" bottom="0.75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0.28125" style="0" customWidth="1"/>
    <col min="2" max="2" width="13.140625" style="0" customWidth="1"/>
    <col min="3" max="3" width="42.8515625" style="0" customWidth="1"/>
    <col min="4" max="4" width="19.57421875" style="0" customWidth="1"/>
  </cols>
  <sheetData>
    <row r="1" spans="1:4" s="52" customFormat="1" ht="15.75">
      <c r="A1" s="248" t="s">
        <v>268</v>
      </c>
      <c r="B1" s="248"/>
      <c r="C1" s="248"/>
      <c r="D1" s="248"/>
    </row>
    <row r="2" spans="1:4" s="52" customFormat="1" ht="15.75">
      <c r="A2" s="248"/>
      <c r="B2" s="248"/>
      <c r="C2" s="248"/>
      <c r="D2" s="248"/>
    </row>
    <row r="3" s="52" customFormat="1" ht="15.75"/>
    <row r="4" s="52" customFormat="1" ht="15.75">
      <c r="D4" s="256" t="s">
        <v>118</v>
      </c>
    </row>
    <row r="5" spans="1:4" s="52" customFormat="1" ht="19.5" customHeight="1">
      <c r="A5" s="219" t="s">
        <v>114</v>
      </c>
      <c r="B5" s="219"/>
      <c r="C5" s="219" t="s">
        <v>115</v>
      </c>
      <c r="D5" s="219" t="s">
        <v>116</v>
      </c>
    </row>
    <row r="6" spans="1:4" s="52" customFormat="1" ht="19.5" customHeight="1">
      <c r="A6" s="250">
        <v>2019</v>
      </c>
      <c r="B6" s="53" t="s">
        <v>112</v>
      </c>
      <c r="C6" s="54"/>
      <c r="D6" s="55">
        <f>D7+D8+D9+D10+D11</f>
        <v>28016012</v>
      </c>
    </row>
    <row r="7" spans="1:4" s="52" customFormat="1" ht="19.5" customHeight="1">
      <c r="A7" s="250"/>
      <c r="B7" s="249"/>
      <c r="C7" s="58" t="s">
        <v>262</v>
      </c>
      <c r="D7" s="59">
        <f>PhulucVI!D43</f>
        <v>9196709</v>
      </c>
    </row>
    <row r="8" spans="1:4" s="52" customFormat="1" ht="19.5" customHeight="1">
      <c r="A8" s="250"/>
      <c r="B8" s="249"/>
      <c r="C8" s="58" t="s">
        <v>125</v>
      </c>
      <c r="D8" s="59">
        <f>PhulucVI!D98</f>
        <v>1270110</v>
      </c>
    </row>
    <row r="9" spans="1:4" s="52" customFormat="1" ht="19.5" customHeight="1">
      <c r="A9" s="250"/>
      <c r="B9" s="249"/>
      <c r="C9" s="58" t="s">
        <v>126</v>
      </c>
      <c r="D9" s="59">
        <v>4697563</v>
      </c>
    </row>
    <row r="10" spans="1:4" s="52" customFormat="1" ht="19.5" customHeight="1">
      <c r="A10" s="250"/>
      <c r="B10" s="249"/>
      <c r="C10" s="58" t="s">
        <v>127</v>
      </c>
      <c r="D10" s="59">
        <v>10600000</v>
      </c>
    </row>
    <row r="11" spans="1:4" s="52" customFormat="1" ht="19.5" customHeight="1">
      <c r="A11" s="250"/>
      <c r="B11" s="249"/>
      <c r="C11" s="58" t="s">
        <v>128</v>
      </c>
      <c r="D11" s="59">
        <v>2251630</v>
      </c>
    </row>
    <row r="12" spans="1:4" s="52" customFormat="1" ht="19.5" customHeight="1">
      <c r="A12" s="250">
        <v>2020</v>
      </c>
      <c r="B12" s="53" t="s">
        <v>112</v>
      </c>
      <c r="C12" s="54"/>
      <c r="D12" s="55">
        <f>D13+D14+D15+D16+D17</f>
        <v>26051973.9</v>
      </c>
    </row>
    <row r="13" spans="1:4" s="52" customFormat="1" ht="19.5" customHeight="1">
      <c r="A13" s="250"/>
      <c r="B13" s="249"/>
      <c r="C13" s="58" t="s">
        <v>262</v>
      </c>
      <c r="D13" s="57">
        <f>PhulucVI!F43</f>
        <v>5208058</v>
      </c>
    </row>
    <row r="14" spans="1:4" s="52" customFormat="1" ht="19.5" customHeight="1">
      <c r="A14" s="250"/>
      <c r="B14" s="249"/>
      <c r="C14" s="58" t="s">
        <v>125</v>
      </c>
      <c r="D14" s="57">
        <f>PhulucVI!F98</f>
        <v>1287559.9000000004</v>
      </c>
    </row>
    <row r="15" spans="1:4" s="52" customFormat="1" ht="19.5" customHeight="1">
      <c r="A15" s="250"/>
      <c r="B15" s="249"/>
      <c r="C15" s="58" t="s">
        <v>126</v>
      </c>
      <c r="D15" s="59">
        <v>1781461</v>
      </c>
    </row>
    <row r="16" spans="1:4" s="52" customFormat="1" ht="19.5" customHeight="1">
      <c r="A16" s="250"/>
      <c r="B16" s="249"/>
      <c r="C16" s="58" t="s">
        <v>127</v>
      </c>
      <c r="D16" s="59">
        <v>14400000</v>
      </c>
    </row>
    <row r="17" spans="1:4" s="52" customFormat="1" ht="19.5" customHeight="1">
      <c r="A17" s="250"/>
      <c r="B17" s="249"/>
      <c r="C17" s="58" t="s">
        <v>128</v>
      </c>
      <c r="D17" s="59">
        <v>3374895</v>
      </c>
    </row>
    <row r="18" spans="1:4" s="52" customFormat="1" ht="19.5" customHeight="1">
      <c r="A18" s="250">
        <v>2021</v>
      </c>
      <c r="B18" s="53" t="s">
        <v>112</v>
      </c>
      <c r="C18" s="54"/>
      <c r="D18" s="55">
        <f>D19+D20+D21+D22+D23</f>
        <v>39775002</v>
      </c>
    </row>
    <row r="19" spans="1:4" s="52" customFormat="1" ht="19.5" customHeight="1">
      <c r="A19" s="250"/>
      <c r="B19" s="249"/>
      <c r="C19" s="58" t="s">
        <v>262</v>
      </c>
      <c r="D19" s="57">
        <f>PhulucVI!H43</f>
        <v>5206730</v>
      </c>
    </row>
    <row r="20" spans="1:4" s="52" customFormat="1" ht="19.5" customHeight="1">
      <c r="A20" s="250"/>
      <c r="B20" s="249"/>
      <c r="C20" s="58" t="s">
        <v>125</v>
      </c>
      <c r="D20" s="57">
        <f>PhulucVI!H98</f>
        <v>941284</v>
      </c>
    </row>
    <row r="21" spans="1:4" s="52" customFormat="1" ht="19.5" customHeight="1">
      <c r="A21" s="250"/>
      <c r="B21" s="249"/>
      <c r="C21" s="58" t="s">
        <v>126</v>
      </c>
      <c r="D21" s="59">
        <v>252093</v>
      </c>
    </row>
    <row r="22" spans="1:4" s="52" customFormat="1" ht="19.5" customHeight="1">
      <c r="A22" s="250"/>
      <c r="B22" s="249"/>
      <c r="C22" s="58" t="s">
        <v>127</v>
      </c>
      <c r="D22" s="59">
        <v>30000000</v>
      </c>
    </row>
    <row r="23" spans="1:4" s="52" customFormat="1" ht="19.5" customHeight="1">
      <c r="A23" s="250"/>
      <c r="B23" s="249"/>
      <c r="C23" s="58" t="s">
        <v>128</v>
      </c>
      <c r="D23" s="59">
        <v>3374895</v>
      </c>
    </row>
    <row r="24" spans="1:4" s="52" customFormat="1" ht="19.5" customHeight="1">
      <c r="A24" s="250">
        <v>2022</v>
      </c>
      <c r="B24" s="53" t="s">
        <v>112</v>
      </c>
      <c r="C24" s="54"/>
      <c r="D24" s="55">
        <f>D25+D26+D27+D28+D29</f>
        <v>38939549</v>
      </c>
    </row>
    <row r="25" spans="1:4" s="52" customFormat="1" ht="19.5" customHeight="1">
      <c r="A25" s="250"/>
      <c r="B25" s="249"/>
      <c r="C25" s="58" t="s">
        <v>262</v>
      </c>
      <c r="D25" s="57">
        <f>PhulucVI!J43</f>
        <v>1549550</v>
      </c>
    </row>
    <row r="26" spans="1:4" s="52" customFormat="1" ht="19.5" customHeight="1">
      <c r="A26" s="250"/>
      <c r="B26" s="249"/>
      <c r="C26" s="58" t="s">
        <v>125</v>
      </c>
      <c r="D26" s="57">
        <f>PhulucVI!J98</f>
        <v>1649591</v>
      </c>
    </row>
    <row r="27" spans="1:4" s="52" customFormat="1" ht="19.5" customHeight="1">
      <c r="A27" s="250"/>
      <c r="B27" s="249"/>
      <c r="C27" s="58" t="s">
        <v>126</v>
      </c>
      <c r="D27" s="59">
        <v>365513</v>
      </c>
    </row>
    <row r="28" spans="1:4" s="52" customFormat="1" ht="19.5" customHeight="1">
      <c r="A28" s="250"/>
      <c r="B28" s="249"/>
      <c r="C28" s="58" t="s">
        <v>127</v>
      </c>
      <c r="D28" s="59">
        <v>32000000</v>
      </c>
    </row>
    <row r="29" spans="1:4" s="52" customFormat="1" ht="19.5" customHeight="1">
      <c r="A29" s="250"/>
      <c r="B29" s="249"/>
      <c r="C29" s="58" t="s">
        <v>128</v>
      </c>
      <c r="D29" s="59">
        <v>3374895</v>
      </c>
    </row>
    <row r="30" spans="1:4" s="52" customFormat="1" ht="19.5" customHeight="1">
      <c r="A30" s="250">
        <v>2023</v>
      </c>
      <c r="B30" s="53" t="s">
        <v>112</v>
      </c>
      <c r="C30" s="54"/>
      <c r="D30" s="55">
        <f>D31+D32+D33+D34+D35</f>
        <v>36404322</v>
      </c>
    </row>
    <row r="31" spans="1:4" s="52" customFormat="1" ht="19.5" customHeight="1">
      <c r="A31" s="250"/>
      <c r="B31" s="249"/>
      <c r="C31" s="58" t="s">
        <v>262</v>
      </c>
      <c r="D31" s="57">
        <f>PhulucVI!L43</f>
        <v>452250</v>
      </c>
    </row>
    <row r="32" spans="1:4" s="52" customFormat="1" ht="19.5" customHeight="1">
      <c r="A32" s="250"/>
      <c r="B32" s="249"/>
      <c r="C32" s="58" t="s">
        <v>125</v>
      </c>
      <c r="D32" s="57">
        <f>PhulucVI!L98</f>
        <v>201600</v>
      </c>
    </row>
    <row r="33" spans="1:4" s="52" customFormat="1" ht="19.5" customHeight="1">
      <c r="A33" s="250"/>
      <c r="B33" s="249"/>
      <c r="C33" s="58" t="s">
        <v>126</v>
      </c>
      <c r="D33" s="59">
        <v>375577</v>
      </c>
    </row>
    <row r="34" spans="1:4" s="52" customFormat="1" ht="19.5" customHeight="1">
      <c r="A34" s="250"/>
      <c r="B34" s="249"/>
      <c r="C34" s="58" t="s">
        <v>127</v>
      </c>
      <c r="D34" s="59">
        <v>32000000</v>
      </c>
    </row>
    <row r="35" spans="1:4" s="52" customFormat="1" ht="19.5" customHeight="1">
      <c r="A35" s="250"/>
      <c r="B35" s="249"/>
      <c r="C35" s="58" t="s">
        <v>128</v>
      </c>
      <c r="D35" s="59">
        <v>3374895</v>
      </c>
    </row>
    <row r="36" spans="1:4" s="52" customFormat="1" ht="19.5" customHeight="1">
      <c r="A36" s="250">
        <v>2024</v>
      </c>
      <c r="B36" s="53" t="s">
        <v>112</v>
      </c>
      <c r="C36" s="54"/>
      <c r="D36" s="55">
        <f>D37+D38+D39+D40+D41</f>
        <v>35793215</v>
      </c>
    </row>
    <row r="37" spans="1:4" s="52" customFormat="1" ht="19.5" customHeight="1">
      <c r="A37" s="250"/>
      <c r="B37" s="249"/>
      <c r="C37" s="58" t="s">
        <v>262</v>
      </c>
      <c r="D37" s="57">
        <f>PhulucVI!N43</f>
        <v>378000</v>
      </c>
    </row>
    <row r="38" spans="1:4" s="52" customFormat="1" ht="19.5" customHeight="1">
      <c r="A38" s="250"/>
      <c r="B38" s="249"/>
      <c r="C38" s="58" t="s">
        <v>125</v>
      </c>
      <c r="D38" s="57">
        <f>PhulucVI!N98</f>
        <v>40320</v>
      </c>
    </row>
    <row r="39" spans="1:4" s="52" customFormat="1" ht="19.5" customHeight="1">
      <c r="A39" s="250"/>
      <c r="B39" s="249"/>
      <c r="C39" s="58" t="s">
        <v>126</v>
      </c>
      <c r="D39" s="59">
        <v>0</v>
      </c>
    </row>
    <row r="40" spans="1:4" s="52" customFormat="1" ht="19.5" customHeight="1">
      <c r="A40" s="250"/>
      <c r="B40" s="249"/>
      <c r="C40" s="58" t="s">
        <v>127</v>
      </c>
      <c r="D40" s="59">
        <v>32000000</v>
      </c>
    </row>
    <row r="41" spans="1:4" s="52" customFormat="1" ht="19.5" customHeight="1">
      <c r="A41" s="250"/>
      <c r="B41" s="249"/>
      <c r="C41" s="58" t="s">
        <v>128</v>
      </c>
      <c r="D41" s="59">
        <v>3374895</v>
      </c>
    </row>
    <row r="42" spans="1:4" s="52" customFormat="1" ht="19.5" customHeight="1">
      <c r="A42" s="250">
        <v>2025</v>
      </c>
      <c r="B42" s="53" t="s">
        <v>112</v>
      </c>
      <c r="C42" s="54"/>
      <c r="D42" s="55">
        <f>D43+D44+D45+D46+D47</f>
        <v>30824895</v>
      </c>
    </row>
    <row r="43" spans="1:4" s="52" customFormat="1" ht="19.5" customHeight="1">
      <c r="A43" s="250"/>
      <c r="B43" s="249"/>
      <c r="C43" s="58" t="s">
        <v>262</v>
      </c>
      <c r="D43" s="57">
        <f>PhulucVI!O43</f>
        <v>0</v>
      </c>
    </row>
    <row r="44" spans="1:4" s="52" customFormat="1" ht="19.5" customHeight="1">
      <c r="A44" s="250"/>
      <c r="B44" s="249"/>
      <c r="C44" s="58" t="s">
        <v>125</v>
      </c>
      <c r="D44" s="57">
        <f>PhulucVI!O98</f>
        <v>0</v>
      </c>
    </row>
    <row r="45" spans="1:4" s="52" customFormat="1" ht="19.5" customHeight="1">
      <c r="A45" s="250"/>
      <c r="B45" s="249"/>
      <c r="C45" s="58" t="s">
        <v>126</v>
      </c>
      <c r="D45" s="59">
        <v>0</v>
      </c>
    </row>
    <row r="46" spans="1:4" s="52" customFormat="1" ht="19.5" customHeight="1">
      <c r="A46" s="250"/>
      <c r="B46" s="249"/>
      <c r="C46" s="58" t="s">
        <v>127</v>
      </c>
      <c r="D46" s="59">
        <v>27450000</v>
      </c>
    </row>
    <row r="47" spans="1:4" s="52" customFormat="1" ht="19.5" customHeight="1">
      <c r="A47" s="250"/>
      <c r="B47" s="249"/>
      <c r="C47" s="58" t="s">
        <v>128</v>
      </c>
      <c r="D47" s="59">
        <v>3374895</v>
      </c>
    </row>
    <row r="48" spans="1:4" s="60" customFormat="1" ht="19.5" customHeight="1">
      <c r="A48" s="252" t="s">
        <v>260</v>
      </c>
      <c r="B48" s="252"/>
      <c r="C48" s="252"/>
      <c r="D48" s="61">
        <f>D49+D50+D51+D52+D53</f>
        <v>235804968.9</v>
      </c>
    </row>
    <row r="49" spans="1:4" s="60" customFormat="1" ht="19.5" customHeight="1">
      <c r="A49" s="251"/>
      <c r="B49" s="249"/>
      <c r="C49" s="56" t="s">
        <v>262</v>
      </c>
      <c r="D49" s="192">
        <f>D7+D13+D19+D43+D25+D31+D37</f>
        <v>21991297</v>
      </c>
    </row>
    <row r="50" spans="1:4" s="60" customFormat="1" ht="19.5" customHeight="1">
      <c r="A50" s="251"/>
      <c r="B50" s="249"/>
      <c r="C50" s="56" t="s">
        <v>125</v>
      </c>
      <c r="D50" s="192">
        <f>D8+D14+D20+D44+D26+D32+D38</f>
        <v>5390464.9</v>
      </c>
    </row>
    <row r="51" spans="1:4" s="60" customFormat="1" ht="19.5" customHeight="1">
      <c r="A51" s="251"/>
      <c r="B51" s="249"/>
      <c r="C51" s="56" t="s">
        <v>126</v>
      </c>
      <c r="D51" s="192">
        <f>D9+D15+D21+D45+D27+D33+D39</f>
        <v>7472207</v>
      </c>
    </row>
    <row r="52" spans="1:4" s="60" customFormat="1" ht="19.5" customHeight="1">
      <c r="A52" s="251"/>
      <c r="B52" s="249"/>
      <c r="C52" s="56" t="s">
        <v>127</v>
      </c>
      <c r="D52" s="192">
        <f>D10+D16+D22+D46+D28+D34+D40</f>
        <v>178450000</v>
      </c>
    </row>
    <row r="53" spans="1:4" s="60" customFormat="1" ht="19.5" customHeight="1">
      <c r="A53" s="251"/>
      <c r="B53" s="249"/>
      <c r="C53" s="56" t="s">
        <v>128</v>
      </c>
      <c r="D53" s="192">
        <f>D11+D17+D23+D47+D29+D35+D41</f>
        <v>22501000</v>
      </c>
    </row>
    <row r="54" s="60" customFormat="1" ht="12.75"/>
    <row r="55" s="60" customFormat="1" ht="12.75">
      <c r="D55" s="218"/>
    </row>
    <row r="56" s="60" customFormat="1" ht="12.75"/>
  </sheetData>
  <sheetProtection/>
  <mergeCells count="19">
    <mergeCell ref="A49:A53"/>
    <mergeCell ref="A6:A11"/>
    <mergeCell ref="A48:C48"/>
    <mergeCell ref="A12:A17"/>
    <mergeCell ref="A18:A23"/>
    <mergeCell ref="A42:A47"/>
    <mergeCell ref="B7:B11"/>
    <mergeCell ref="B49:B53"/>
    <mergeCell ref="B25:B29"/>
    <mergeCell ref="A1:D1"/>
    <mergeCell ref="B13:B17"/>
    <mergeCell ref="B19:B23"/>
    <mergeCell ref="B43:B47"/>
    <mergeCell ref="A2:D2"/>
    <mergeCell ref="A36:A41"/>
    <mergeCell ref="B37:B41"/>
    <mergeCell ref="A30:A35"/>
    <mergeCell ref="B31:B35"/>
    <mergeCell ref="A24:A29"/>
  </mergeCells>
  <printOptions horizontalCentered="1"/>
  <pageMargins left="0.75" right="0.5" top="1" bottom="1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8" customWidth="1"/>
    <col min="2" max="2" width="31.140625" style="8" customWidth="1"/>
    <col min="3" max="4" width="9.140625" style="8" customWidth="1"/>
    <col min="5" max="5" width="9.421875" style="8" customWidth="1"/>
    <col min="6" max="10" width="9.140625" style="8" customWidth="1"/>
    <col min="11" max="11" width="9.7109375" style="8" customWidth="1"/>
    <col min="12" max="12" width="14.00390625" style="8" customWidth="1"/>
    <col min="13" max="16384" width="9.140625" style="8" customWidth="1"/>
  </cols>
  <sheetData>
    <row r="1" ht="16.5">
      <c r="A1" s="7" t="s">
        <v>265</v>
      </c>
    </row>
    <row r="4" ht="16.5">
      <c r="A4" s="7" t="s">
        <v>12</v>
      </c>
    </row>
    <row r="5" spans="1:12" ht="16.5" customHeight="1">
      <c r="A5" s="225" t="s">
        <v>10</v>
      </c>
      <c r="B5" s="225" t="s">
        <v>0</v>
      </c>
      <c r="C5" s="225" t="s">
        <v>1</v>
      </c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6.5">
      <c r="A6" s="225"/>
      <c r="B6" s="225"/>
      <c r="C6" s="225" t="s">
        <v>2</v>
      </c>
      <c r="D6" s="225"/>
      <c r="E6" s="225"/>
      <c r="F6" s="225" t="s">
        <v>3</v>
      </c>
      <c r="G6" s="225"/>
      <c r="H6" s="225"/>
      <c r="I6" s="225"/>
      <c r="J6" s="225"/>
      <c r="K6" s="225"/>
      <c r="L6" s="225" t="s">
        <v>11</v>
      </c>
    </row>
    <row r="7" spans="1:12" ht="16.5">
      <c r="A7" s="225"/>
      <c r="B7" s="225"/>
      <c r="C7" s="225" t="s">
        <v>4</v>
      </c>
      <c r="D7" s="225" t="s">
        <v>5</v>
      </c>
      <c r="E7" s="225" t="s">
        <v>6</v>
      </c>
      <c r="F7" s="225" t="s">
        <v>7</v>
      </c>
      <c r="G7" s="225"/>
      <c r="H7" s="225"/>
      <c r="I7" s="225" t="s">
        <v>8</v>
      </c>
      <c r="J7" s="225"/>
      <c r="K7" s="225"/>
      <c r="L7" s="225"/>
    </row>
    <row r="8" spans="1:12" ht="33">
      <c r="A8" s="225"/>
      <c r="B8" s="225"/>
      <c r="C8" s="225"/>
      <c r="D8" s="225"/>
      <c r="E8" s="225"/>
      <c r="F8" s="1" t="s">
        <v>9</v>
      </c>
      <c r="G8" s="1" t="s">
        <v>5</v>
      </c>
      <c r="H8" s="1" t="s">
        <v>6</v>
      </c>
      <c r="I8" s="1" t="s">
        <v>9</v>
      </c>
      <c r="J8" s="1" t="s">
        <v>5</v>
      </c>
      <c r="K8" s="1" t="s">
        <v>6</v>
      </c>
      <c r="L8" s="225"/>
    </row>
    <row r="9" spans="1:12" ht="16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2">
        <v>12</v>
      </c>
    </row>
    <row r="10" spans="1:12" ht="21.75" customHeight="1">
      <c r="A10" s="64"/>
      <c r="B10" s="86" t="s">
        <v>152</v>
      </c>
      <c r="C10" s="2"/>
      <c r="D10" s="3"/>
      <c r="E10" s="4"/>
      <c r="F10" s="2"/>
      <c r="G10" s="2"/>
      <c r="H10" s="4"/>
      <c r="I10" s="2"/>
      <c r="J10" s="2"/>
      <c r="K10" s="4"/>
      <c r="L10" s="9"/>
    </row>
    <row r="11" spans="1:12" ht="21.75" customHeight="1">
      <c r="A11" s="87">
        <v>1</v>
      </c>
      <c r="B11" s="118" t="s">
        <v>154</v>
      </c>
      <c r="C11" s="75">
        <v>10</v>
      </c>
      <c r="D11" s="75">
        <v>284</v>
      </c>
      <c r="E11" s="147">
        <v>208</v>
      </c>
      <c r="F11" s="75"/>
      <c r="G11" s="75"/>
      <c r="H11" s="147"/>
      <c r="I11" s="75">
        <v>10</v>
      </c>
      <c r="J11" s="75">
        <v>284</v>
      </c>
      <c r="K11" s="147">
        <v>208</v>
      </c>
      <c r="L11" s="150">
        <v>924255</v>
      </c>
    </row>
    <row r="12" spans="1:12" ht="21.75" customHeight="1">
      <c r="A12" s="87">
        <v>2</v>
      </c>
      <c r="B12" s="117" t="s">
        <v>155</v>
      </c>
      <c r="C12" s="75">
        <v>10</v>
      </c>
      <c r="D12" s="75">
        <v>329</v>
      </c>
      <c r="E12" s="75">
        <v>290</v>
      </c>
      <c r="F12" s="75"/>
      <c r="G12" s="75"/>
      <c r="H12" s="75"/>
      <c r="I12" s="75">
        <v>10</v>
      </c>
      <c r="J12" s="75">
        <v>329</v>
      </c>
      <c r="K12" s="75">
        <v>290</v>
      </c>
      <c r="L12" s="150">
        <v>1027429</v>
      </c>
    </row>
    <row r="13" spans="1:12" ht="21.75" customHeight="1">
      <c r="A13" s="64"/>
      <c r="B13" s="86" t="s">
        <v>180</v>
      </c>
      <c r="C13" s="3"/>
      <c r="D13" s="3"/>
      <c r="E13" s="148"/>
      <c r="F13" s="3"/>
      <c r="G13" s="3"/>
      <c r="H13" s="148"/>
      <c r="I13" s="3"/>
      <c r="J13" s="3"/>
      <c r="K13" s="148"/>
      <c r="L13" s="80"/>
    </row>
    <row r="14" spans="1:12" ht="21.75" customHeight="1">
      <c r="A14" s="88">
        <v>1</v>
      </c>
      <c r="B14" s="64" t="s">
        <v>176</v>
      </c>
      <c r="C14" s="66">
        <v>11</v>
      </c>
      <c r="D14" s="66">
        <v>340</v>
      </c>
      <c r="E14" s="66">
        <v>187</v>
      </c>
      <c r="F14" s="66"/>
      <c r="G14" s="66"/>
      <c r="H14" s="66"/>
      <c r="I14" s="66">
        <v>11</v>
      </c>
      <c r="J14" s="66">
        <v>340</v>
      </c>
      <c r="K14" s="66">
        <v>187</v>
      </c>
      <c r="L14" s="80">
        <v>718075</v>
      </c>
    </row>
    <row r="15" spans="1:12" ht="21.75" customHeight="1">
      <c r="A15" s="88">
        <v>2</v>
      </c>
      <c r="B15" s="64" t="s">
        <v>177</v>
      </c>
      <c r="C15" s="66">
        <v>28</v>
      </c>
      <c r="D15" s="66">
        <v>430</v>
      </c>
      <c r="E15" s="66">
        <f>K15</f>
        <v>91</v>
      </c>
      <c r="F15" s="66">
        <v>22</v>
      </c>
      <c r="G15" s="66">
        <v>234</v>
      </c>
      <c r="H15" s="66">
        <v>0</v>
      </c>
      <c r="I15" s="66">
        <v>6</v>
      </c>
      <c r="J15" s="66">
        <v>196</v>
      </c>
      <c r="K15" s="66">
        <v>91</v>
      </c>
      <c r="L15" s="80">
        <v>410775</v>
      </c>
    </row>
    <row r="16" spans="1:12" ht="21.75" customHeight="1">
      <c r="A16" s="88">
        <v>3</v>
      </c>
      <c r="B16" s="64" t="s">
        <v>178</v>
      </c>
      <c r="C16" s="66">
        <v>26</v>
      </c>
      <c r="D16" s="66">
        <v>335</v>
      </c>
      <c r="E16" s="66">
        <v>83</v>
      </c>
      <c r="F16" s="66">
        <v>21</v>
      </c>
      <c r="G16" s="66">
        <v>185</v>
      </c>
      <c r="H16" s="66"/>
      <c r="I16" s="66">
        <v>5</v>
      </c>
      <c r="J16" s="66">
        <v>148</v>
      </c>
      <c r="K16" s="66">
        <v>83</v>
      </c>
      <c r="L16" s="80">
        <v>359375</v>
      </c>
    </row>
    <row r="17" spans="1:12" ht="21.75" customHeight="1">
      <c r="A17" s="88">
        <v>4</v>
      </c>
      <c r="B17" s="64" t="s">
        <v>179</v>
      </c>
      <c r="C17" s="66">
        <v>31</v>
      </c>
      <c r="D17" s="66">
        <v>660</v>
      </c>
      <c r="E17" s="66">
        <v>83</v>
      </c>
      <c r="F17" s="66">
        <v>25</v>
      </c>
      <c r="G17" s="66">
        <v>435</v>
      </c>
      <c r="H17" s="66"/>
      <c r="I17" s="66">
        <v>6</v>
      </c>
      <c r="J17" s="66">
        <v>225</v>
      </c>
      <c r="K17" s="66">
        <v>83</v>
      </c>
      <c r="L17" s="80">
        <v>312800</v>
      </c>
    </row>
    <row r="18" spans="1:12" ht="21.75" customHeight="1">
      <c r="A18" s="88"/>
      <c r="B18" s="120" t="s">
        <v>112</v>
      </c>
      <c r="C18" s="137">
        <f>SUM(C11:C17)</f>
        <v>116</v>
      </c>
      <c r="D18" s="137">
        <f aca="true" t="shared" si="0" ref="D18:K18">SUM(D11:D17)</f>
        <v>2378</v>
      </c>
      <c r="E18" s="137">
        <f t="shared" si="0"/>
        <v>942</v>
      </c>
      <c r="F18" s="137">
        <f t="shared" si="0"/>
        <v>68</v>
      </c>
      <c r="G18" s="137">
        <f t="shared" si="0"/>
        <v>854</v>
      </c>
      <c r="H18" s="137">
        <f t="shared" si="0"/>
        <v>0</v>
      </c>
      <c r="I18" s="137">
        <f t="shared" si="0"/>
        <v>48</v>
      </c>
      <c r="J18" s="137">
        <f t="shared" si="0"/>
        <v>1522</v>
      </c>
      <c r="K18" s="137">
        <f t="shared" si="0"/>
        <v>942</v>
      </c>
      <c r="L18" s="138">
        <f>SUM(L11:L17)</f>
        <v>3752709</v>
      </c>
    </row>
    <row r="28" ht="19.5" customHeight="1">
      <c r="A28" s="7" t="s">
        <v>20</v>
      </c>
    </row>
    <row r="29" spans="1:12" ht="16.5" customHeight="1">
      <c r="A29" s="225" t="s">
        <v>10</v>
      </c>
      <c r="B29" s="225" t="s">
        <v>0</v>
      </c>
      <c r="C29" s="225" t="s">
        <v>17</v>
      </c>
      <c r="D29" s="225"/>
      <c r="E29" s="225"/>
      <c r="F29" s="225"/>
      <c r="G29" s="225"/>
      <c r="H29" s="225"/>
      <c r="I29" s="225"/>
      <c r="J29" s="225"/>
      <c r="K29" s="225"/>
      <c r="L29" s="225"/>
    </row>
    <row r="30" spans="1:12" ht="16.5">
      <c r="A30" s="225"/>
      <c r="B30" s="225"/>
      <c r="C30" s="225" t="s">
        <v>2</v>
      </c>
      <c r="D30" s="225"/>
      <c r="E30" s="225"/>
      <c r="F30" s="225" t="s">
        <v>3</v>
      </c>
      <c r="G30" s="225"/>
      <c r="H30" s="225"/>
      <c r="I30" s="225"/>
      <c r="J30" s="225"/>
      <c r="K30" s="225"/>
      <c r="L30" s="225" t="s">
        <v>11</v>
      </c>
    </row>
    <row r="31" spans="1:12" ht="16.5">
      <c r="A31" s="225"/>
      <c r="B31" s="225"/>
      <c r="C31" s="225" t="s">
        <v>4</v>
      </c>
      <c r="D31" s="225" t="s">
        <v>5</v>
      </c>
      <c r="E31" s="225" t="s">
        <v>6</v>
      </c>
      <c r="F31" s="225" t="s">
        <v>7</v>
      </c>
      <c r="G31" s="225"/>
      <c r="H31" s="225"/>
      <c r="I31" s="225" t="s">
        <v>8</v>
      </c>
      <c r="J31" s="225"/>
      <c r="K31" s="225"/>
      <c r="L31" s="225"/>
    </row>
    <row r="32" spans="1:12" ht="33">
      <c r="A32" s="225"/>
      <c r="B32" s="225"/>
      <c r="C32" s="225"/>
      <c r="D32" s="225"/>
      <c r="E32" s="225"/>
      <c r="F32" s="1" t="s">
        <v>9</v>
      </c>
      <c r="G32" s="1" t="s">
        <v>5</v>
      </c>
      <c r="H32" s="1" t="s">
        <v>6</v>
      </c>
      <c r="I32" s="1" t="s">
        <v>9</v>
      </c>
      <c r="J32" s="1" t="s">
        <v>5</v>
      </c>
      <c r="K32" s="1" t="s">
        <v>6</v>
      </c>
      <c r="L32" s="225"/>
    </row>
    <row r="33" spans="1:12" ht="16.5">
      <c r="A33" s="12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  <c r="K33" s="13">
        <v>11</v>
      </c>
      <c r="L33" s="12">
        <v>12</v>
      </c>
    </row>
    <row r="34" spans="1:12" ht="19.5" customHeight="1">
      <c r="A34" s="90"/>
      <c r="B34" s="86" t="s">
        <v>156</v>
      </c>
      <c r="C34" s="2"/>
      <c r="D34" s="3"/>
      <c r="E34" s="2"/>
      <c r="F34" s="2"/>
      <c r="G34" s="2"/>
      <c r="H34" s="2"/>
      <c r="I34" s="2"/>
      <c r="J34" s="2"/>
      <c r="K34" s="2"/>
      <c r="L34" s="151"/>
    </row>
    <row r="35" spans="1:12" ht="19.5" customHeight="1">
      <c r="A35" s="87">
        <v>1</v>
      </c>
      <c r="B35" s="118" t="s">
        <v>154</v>
      </c>
      <c r="C35" s="6">
        <v>10</v>
      </c>
      <c r="D35" s="6">
        <v>325</v>
      </c>
      <c r="E35" s="6">
        <v>222</v>
      </c>
      <c r="F35" s="6"/>
      <c r="G35" s="6"/>
      <c r="H35" s="6"/>
      <c r="I35" s="6">
        <v>10</v>
      </c>
      <c r="J35" s="6">
        <v>325</v>
      </c>
      <c r="K35" s="6">
        <v>222</v>
      </c>
      <c r="L35" s="152">
        <v>1012545</v>
      </c>
    </row>
    <row r="36" spans="1:12" ht="19.5" customHeight="1">
      <c r="A36" s="87">
        <v>2</v>
      </c>
      <c r="B36" s="118" t="s">
        <v>157</v>
      </c>
      <c r="C36" s="75">
        <v>10</v>
      </c>
      <c r="D36" s="75">
        <v>345</v>
      </c>
      <c r="E36" s="75">
        <v>319</v>
      </c>
      <c r="F36" s="75"/>
      <c r="G36" s="75"/>
      <c r="H36" s="75"/>
      <c r="I36" s="75">
        <v>10</v>
      </c>
      <c r="J36" s="75">
        <v>345</v>
      </c>
      <c r="K36" s="75">
        <v>288</v>
      </c>
      <c r="L36" s="152">
        <v>1098480</v>
      </c>
    </row>
    <row r="37" spans="1:12" ht="19.5" customHeight="1">
      <c r="A37" s="64"/>
      <c r="B37" s="86" t="s">
        <v>180</v>
      </c>
      <c r="C37" s="2"/>
      <c r="D37" s="3"/>
      <c r="E37" s="2"/>
      <c r="F37" s="2"/>
      <c r="G37" s="2"/>
      <c r="H37" s="2"/>
      <c r="I37" s="2"/>
      <c r="J37" s="2"/>
      <c r="K37" s="2"/>
      <c r="L37" s="151"/>
    </row>
    <row r="38" spans="1:12" ht="19.5" customHeight="1">
      <c r="A38" s="88">
        <v>1</v>
      </c>
      <c r="B38" s="117" t="s">
        <v>176</v>
      </c>
      <c r="C38" s="66">
        <v>11</v>
      </c>
      <c r="D38" s="66">
        <v>373</v>
      </c>
      <c r="E38" s="66">
        <v>218</v>
      </c>
      <c r="F38" s="66"/>
      <c r="G38" s="66"/>
      <c r="H38" s="66"/>
      <c r="I38" s="66">
        <v>11</v>
      </c>
      <c r="J38" s="66">
        <v>373</v>
      </c>
      <c r="K38" s="66">
        <v>218</v>
      </c>
      <c r="L38" s="151">
        <v>454500</v>
      </c>
    </row>
    <row r="39" spans="1:12" ht="19.5" customHeight="1">
      <c r="A39" s="88">
        <v>2</v>
      </c>
      <c r="B39" s="117" t="s">
        <v>177</v>
      </c>
      <c r="C39" s="66">
        <v>28</v>
      </c>
      <c r="D39" s="66">
        <f>216+177</f>
        <v>393</v>
      </c>
      <c r="E39" s="66">
        <f>K39</f>
        <v>113</v>
      </c>
      <c r="F39" s="66">
        <v>22</v>
      </c>
      <c r="G39" s="66">
        <v>216</v>
      </c>
      <c r="H39" s="66"/>
      <c r="I39" s="66">
        <v>6</v>
      </c>
      <c r="J39" s="66">
        <v>177</v>
      </c>
      <c r="K39" s="66">
        <v>113</v>
      </c>
      <c r="L39" s="151">
        <v>456350</v>
      </c>
    </row>
    <row r="40" spans="1:12" ht="19.5" customHeight="1">
      <c r="A40" s="88">
        <v>3</v>
      </c>
      <c r="B40" s="117" t="s">
        <v>178</v>
      </c>
      <c r="C40" s="66">
        <v>31</v>
      </c>
      <c r="D40" s="66">
        <v>317</v>
      </c>
      <c r="E40" s="66">
        <v>97</v>
      </c>
      <c r="F40" s="66">
        <v>26</v>
      </c>
      <c r="G40" s="66">
        <v>174</v>
      </c>
      <c r="H40" s="66"/>
      <c r="I40" s="66">
        <v>5</v>
      </c>
      <c r="J40" s="66">
        <v>143</v>
      </c>
      <c r="K40" s="66">
        <v>97</v>
      </c>
      <c r="L40" s="151">
        <v>393875</v>
      </c>
    </row>
    <row r="41" spans="1:12" ht="19.5" customHeight="1">
      <c r="A41" s="88">
        <v>4</v>
      </c>
      <c r="B41" s="117" t="s">
        <v>179</v>
      </c>
      <c r="C41" s="66">
        <v>33</v>
      </c>
      <c r="D41" s="66">
        <v>683</v>
      </c>
      <c r="E41" s="66">
        <v>124</v>
      </c>
      <c r="F41" s="66">
        <v>26</v>
      </c>
      <c r="G41" s="66">
        <v>425</v>
      </c>
      <c r="H41" s="66">
        <v>0</v>
      </c>
      <c r="I41" s="66">
        <v>7</v>
      </c>
      <c r="J41" s="66">
        <v>258</v>
      </c>
      <c r="K41" s="66">
        <v>124</v>
      </c>
      <c r="L41" s="151">
        <v>505425</v>
      </c>
    </row>
    <row r="42" spans="1:12" ht="19.5" customHeight="1">
      <c r="A42" s="88"/>
      <c r="B42" s="120" t="s">
        <v>112</v>
      </c>
      <c r="C42" s="137">
        <f aca="true" t="shared" si="1" ref="C42:L42">SUM(C34:C41)</f>
        <v>123</v>
      </c>
      <c r="D42" s="137">
        <f t="shared" si="1"/>
        <v>2436</v>
      </c>
      <c r="E42" s="137">
        <f t="shared" si="1"/>
        <v>1093</v>
      </c>
      <c r="F42" s="137">
        <f t="shared" si="1"/>
        <v>74</v>
      </c>
      <c r="G42" s="137">
        <f t="shared" si="1"/>
        <v>815</v>
      </c>
      <c r="H42" s="137">
        <f t="shared" si="1"/>
        <v>0</v>
      </c>
      <c r="I42" s="137">
        <f t="shared" si="1"/>
        <v>49</v>
      </c>
      <c r="J42" s="137">
        <f t="shared" si="1"/>
        <v>1621</v>
      </c>
      <c r="K42" s="137">
        <f t="shared" si="1"/>
        <v>1062</v>
      </c>
      <c r="L42" s="149">
        <f t="shared" si="1"/>
        <v>3921175</v>
      </c>
    </row>
    <row r="55" ht="16.5">
      <c r="A55" s="7" t="s">
        <v>21</v>
      </c>
    </row>
    <row r="56" spans="1:12" ht="16.5" customHeight="1">
      <c r="A56" s="225" t="s">
        <v>10</v>
      </c>
      <c r="B56" s="225" t="s">
        <v>0</v>
      </c>
      <c r="C56" s="225" t="s">
        <v>19</v>
      </c>
      <c r="D56" s="225"/>
      <c r="E56" s="225"/>
      <c r="F56" s="225"/>
      <c r="G56" s="225"/>
      <c r="H56" s="225"/>
      <c r="I56" s="225"/>
      <c r="J56" s="225"/>
      <c r="K56" s="225"/>
      <c r="L56" s="225"/>
    </row>
    <row r="57" spans="1:12" ht="16.5">
      <c r="A57" s="225"/>
      <c r="B57" s="225"/>
      <c r="C57" s="225" t="s">
        <v>2</v>
      </c>
      <c r="D57" s="225"/>
      <c r="E57" s="225"/>
      <c r="F57" s="225" t="s">
        <v>3</v>
      </c>
      <c r="G57" s="225"/>
      <c r="H57" s="225"/>
      <c r="I57" s="225"/>
      <c r="J57" s="225"/>
      <c r="K57" s="225"/>
      <c r="L57" s="225" t="s">
        <v>11</v>
      </c>
    </row>
    <row r="58" spans="1:12" ht="16.5">
      <c r="A58" s="225"/>
      <c r="B58" s="225"/>
      <c r="C58" s="225" t="s">
        <v>4</v>
      </c>
      <c r="D58" s="225" t="s">
        <v>5</v>
      </c>
      <c r="E58" s="225" t="s">
        <v>6</v>
      </c>
      <c r="F58" s="225" t="s">
        <v>7</v>
      </c>
      <c r="G58" s="225"/>
      <c r="H58" s="225"/>
      <c r="I58" s="225" t="s">
        <v>8</v>
      </c>
      <c r="J58" s="225"/>
      <c r="K58" s="225"/>
      <c r="L58" s="225"/>
    </row>
    <row r="59" spans="1:12" ht="33">
      <c r="A59" s="225"/>
      <c r="B59" s="225"/>
      <c r="C59" s="225"/>
      <c r="D59" s="225"/>
      <c r="E59" s="225"/>
      <c r="F59" s="1" t="s">
        <v>9</v>
      </c>
      <c r="G59" s="1" t="s">
        <v>5</v>
      </c>
      <c r="H59" s="1" t="s">
        <v>6</v>
      </c>
      <c r="I59" s="1" t="s">
        <v>9</v>
      </c>
      <c r="J59" s="1" t="s">
        <v>5</v>
      </c>
      <c r="K59" s="1" t="s">
        <v>6</v>
      </c>
      <c r="L59" s="225"/>
    </row>
    <row r="60" spans="1:12" ht="16.5">
      <c r="A60" s="12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  <c r="H60" s="13">
        <v>8</v>
      </c>
      <c r="I60" s="13">
        <v>9</v>
      </c>
      <c r="J60" s="13">
        <v>10</v>
      </c>
      <c r="K60" s="13">
        <v>11</v>
      </c>
      <c r="L60" s="12">
        <v>12</v>
      </c>
    </row>
    <row r="61" spans="1:12" ht="21.75" customHeight="1">
      <c r="A61" s="90"/>
      <c r="B61" s="86" t="s">
        <v>156</v>
      </c>
      <c r="C61" s="72"/>
      <c r="D61" s="73"/>
      <c r="E61" s="74"/>
      <c r="F61" s="72"/>
      <c r="G61" s="72"/>
      <c r="H61" s="74"/>
      <c r="I61" s="72"/>
      <c r="J61" s="72"/>
      <c r="K61" s="74"/>
      <c r="L61" s="62"/>
    </row>
    <row r="62" spans="1:12" ht="21.75" customHeight="1">
      <c r="A62" s="87">
        <v>1</v>
      </c>
      <c r="B62" s="64" t="s">
        <v>158</v>
      </c>
      <c r="C62" s="6">
        <v>10</v>
      </c>
      <c r="D62" s="6">
        <v>334</v>
      </c>
      <c r="E62" s="6">
        <v>230</v>
      </c>
      <c r="F62" s="6"/>
      <c r="G62" s="6"/>
      <c r="H62" s="6"/>
      <c r="I62" s="6">
        <v>10</v>
      </c>
      <c r="J62" s="6">
        <v>334</v>
      </c>
      <c r="K62" s="6">
        <v>230</v>
      </c>
      <c r="L62" s="136">
        <v>1377199</v>
      </c>
    </row>
    <row r="63" spans="1:12" ht="21.75" customHeight="1">
      <c r="A63" s="87">
        <v>2</v>
      </c>
      <c r="B63" s="64" t="s">
        <v>159</v>
      </c>
      <c r="C63" s="6">
        <v>10</v>
      </c>
      <c r="D63" s="6">
        <v>382</v>
      </c>
      <c r="E63" s="6">
        <v>319</v>
      </c>
      <c r="F63" s="6"/>
      <c r="G63" s="6"/>
      <c r="H63" s="6"/>
      <c r="I63" s="6">
        <v>10</v>
      </c>
      <c r="J63" s="6">
        <v>382</v>
      </c>
      <c r="K63" s="6">
        <v>319</v>
      </c>
      <c r="L63" s="80">
        <v>1467053</v>
      </c>
    </row>
    <row r="64" spans="1:12" ht="21.75" customHeight="1">
      <c r="A64" s="64"/>
      <c r="B64" s="86" t="s">
        <v>180</v>
      </c>
      <c r="C64" s="6"/>
      <c r="D64" s="66"/>
      <c r="E64" s="6"/>
      <c r="F64" s="6"/>
      <c r="G64" s="6"/>
      <c r="H64" s="6"/>
      <c r="I64" s="6"/>
      <c r="J64" s="6"/>
      <c r="K64" s="6"/>
      <c r="L64" s="65"/>
    </row>
    <row r="65" spans="1:12" ht="21.75" customHeight="1">
      <c r="A65" s="88">
        <v>1</v>
      </c>
      <c r="B65" s="64" t="s">
        <v>176</v>
      </c>
      <c r="C65" s="66">
        <v>12</v>
      </c>
      <c r="D65" s="66">
        <v>388</v>
      </c>
      <c r="E65" s="66">
        <v>235</v>
      </c>
      <c r="F65" s="66"/>
      <c r="G65" s="66"/>
      <c r="H65" s="66"/>
      <c r="I65" s="66">
        <v>12</v>
      </c>
      <c r="J65" s="66">
        <v>388</v>
      </c>
      <c r="K65" s="66">
        <v>235</v>
      </c>
      <c r="L65" s="136">
        <f>E65*1150*0.5*5+E65*1210*0.5*4</f>
        <v>1244325</v>
      </c>
    </row>
    <row r="66" spans="1:12" ht="21.75" customHeight="1">
      <c r="A66" s="88">
        <v>2</v>
      </c>
      <c r="B66" s="64" t="s">
        <v>177</v>
      </c>
      <c r="C66" s="66">
        <v>28</v>
      </c>
      <c r="D66" s="66">
        <v>389</v>
      </c>
      <c r="E66" s="66">
        <v>75</v>
      </c>
      <c r="F66" s="66">
        <v>22</v>
      </c>
      <c r="G66" s="66">
        <v>220</v>
      </c>
      <c r="H66" s="66">
        <v>2</v>
      </c>
      <c r="I66" s="66">
        <v>6</v>
      </c>
      <c r="J66" s="66">
        <v>169</v>
      </c>
      <c r="K66" s="66">
        <v>73</v>
      </c>
      <c r="L66" s="136">
        <f>E66*1150*0.5*5+E66*1210*0.5*4</f>
        <v>397125</v>
      </c>
    </row>
    <row r="67" spans="1:12" ht="21.75" customHeight="1">
      <c r="A67" s="88">
        <v>3</v>
      </c>
      <c r="B67" s="64" t="s">
        <v>178</v>
      </c>
      <c r="C67" s="66">
        <v>27</v>
      </c>
      <c r="D67" s="66">
        <v>304</v>
      </c>
      <c r="E67" s="66">
        <v>82</v>
      </c>
      <c r="F67" s="66">
        <v>23</v>
      </c>
      <c r="G67" s="66">
        <v>171</v>
      </c>
      <c r="H67" s="66"/>
      <c r="I67" s="66">
        <v>4</v>
      </c>
      <c r="J67" s="66">
        <v>133</v>
      </c>
      <c r="K67" s="66">
        <v>82</v>
      </c>
      <c r="L67" s="136">
        <f>E67*1150*0.5*5+E67*1210*0.5*4</f>
        <v>434190</v>
      </c>
    </row>
    <row r="68" spans="1:12" ht="21.75" customHeight="1">
      <c r="A68" s="88">
        <v>4</v>
      </c>
      <c r="B68" s="64" t="s">
        <v>179</v>
      </c>
      <c r="C68" s="66">
        <v>33</v>
      </c>
      <c r="D68" s="66">
        <v>759</v>
      </c>
      <c r="E68" s="66">
        <v>100</v>
      </c>
      <c r="F68" s="66">
        <v>25</v>
      </c>
      <c r="G68" s="66">
        <v>467</v>
      </c>
      <c r="H68" s="66">
        <v>0</v>
      </c>
      <c r="I68" s="66">
        <v>8</v>
      </c>
      <c r="J68" s="66">
        <v>292</v>
      </c>
      <c r="K68" s="66">
        <v>100</v>
      </c>
      <c r="L68" s="136">
        <f>E68*1150*0.5*5+E68*1210*0.5*4</f>
        <v>529500</v>
      </c>
    </row>
    <row r="69" spans="1:12" ht="21.75" customHeight="1">
      <c r="A69" s="88"/>
      <c r="B69" s="120" t="s">
        <v>112</v>
      </c>
      <c r="C69" s="137">
        <f>SUM(C62:C68)</f>
        <v>120</v>
      </c>
      <c r="D69" s="137">
        <f aca="true" t="shared" si="2" ref="D69:L69">SUM(D62:D68)</f>
        <v>2556</v>
      </c>
      <c r="E69" s="137">
        <f t="shared" si="2"/>
        <v>1041</v>
      </c>
      <c r="F69" s="137">
        <f t="shared" si="2"/>
        <v>70</v>
      </c>
      <c r="G69" s="137">
        <f t="shared" si="2"/>
        <v>858</v>
      </c>
      <c r="H69" s="137">
        <f t="shared" si="2"/>
        <v>2</v>
      </c>
      <c r="I69" s="137">
        <f t="shared" si="2"/>
        <v>50</v>
      </c>
      <c r="J69" s="137">
        <f t="shared" si="2"/>
        <v>1698</v>
      </c>
      <c r="K69" s="137">
        <f t="shared" si="2"/>
        <v>1039</v>
      </c>
      <c r="L69" s="138">
        <f t="shared" si="2"/>
        <v>5449392</v>
      </c>
    </row>
    <row r="81" ht="16.5">
      <c r="A81" s="7" t="s">
        <v>227</v>
      </c>
    </row>
    <row r="82" spans="1:12" ht="16.5" customHeight="1">
      <c r="A82" s="225" t="s">
        <v>10</v>
      </c>
      <c r="B82" s="225" t="s">
        <v>0</v>
      </c>
      <c r="C82" s="225" t="s">
        <v>225</v>
      </c>
      <c r="D82" s="225"/>
      <c r="E82" s="225"/>
      <c r="F82" s="225"/>
      <c r="G82" s="225"/>
      <c r="H82" s="225"/>
      <c r="I82" s="225"/>
      <c r="J82" s="225"/>
      <c r="K82" s="225"/>
      <c r="L82" s="225"/>
    </row>
    <row r="83" spans="1:12" ht="16.5">
      <c r="A83" s="225"/>
      <c r="B83" s="225"/>
      <c r="C83" s="225" t="s">
        <v>2</v>
      </c>
      <c r="D83" s="225"/>
      <c r="E83" s="225"/>
      <c r="F83" s="225" t="s">
        <v>3</v>
      </c>
      <c r="G83" s="225"/>
      <c r="H83" s="225"/>
      <c r="I83" s="225"/>
      <c r="J83" s="225"/>
      <c r="K83" s="225"/>
      <c r="L83" s="225" t="s">
        <v>11</v>
      </c>
    </row>
    <row r="84" spans="1:12" ht="16.5">
      <c r="A84" s="225"/>
      <c r="B84" s="225"/>
      <c r="C84" s="225" t="s">
        <v>4</v>
      </c>
      <c r="D84" s="225" t="s">
        <v>5</v>
      </c>
      <c r="E84" s="225" t="s">
        <v>6</v>
      </c>
      <c r="F84" s="225" t="s">
        <v>7</v>
      </c>
      <c r="G84" s="225"/>
      <c r="H84" s="225"/>
      <c r="I84" s="225" t="s">
        <v>8</v>
      </c>
      <c r="J84" s="225"/>
      <c r="K84" s="225"/>
      <c r="L84" s="225"/>
    </row>
    <row r="85" spans="1:12" ht="33">
      <c r="A85" s="225"/>
      <c r="B85" s="225"/>
      <c r="C85" s="225"/>
      <c r="D85" s="225"/>
      <c r="E85" s="225"/>
      <c r="F85" s="1" t="s">
        <v>9</v>
      </c>
      <c r="G85" s="1" t="s">
        <v>5</v>
      </c>
      <c r="H85" s="1" t="s">
        <v>6</v>
      </c>
      <c r="I85" s="1" t="s">
        <v>9</v>
      </c>
      <c r="J85" s="1" t="s">
        <v>5</v>
      </c>
      <c r="K85" s="1" t="s">
        <v>6</v>
      </c>
      <c r="L85" s="225"/>
    </row>
    <row r="86" spans="1:12" ht="16.5">
      <c r="A86" s="12">
        <v>1</v>
      </c>
      <c r="B86" s="13">
        <v>2</v>
      </c>
      <c r="C86" s="13">
        <v>3</v>
      </c>
      <c r="D86" s="13">
        <v>4</v>
      </c>
      <c r="E86" s="13">
        <v>5</v>
      </c>
      <c r="F86" s="13">
        <v>6</v>
      </c>
      <c r="G86" s="13">
        <v>7</v>
      </c>
      <c r="H86" s="13">
        <v>8</v>
      </c>
      <c r="I86" s="13">
        <v>9</v>
      </c>
      <c r="J86" s="13">
        <v>10</v>
      </c>
      <c r="K86" s="13">
        <v>11</v>
      </c>
      <c r="L86" s="12">
        <v>12</v>
      </c>
    </row>
    <row r="87" spans="1:12" ht="21.75" customHeight="1">
      <c r="A87" s="90"/>
      <c r="B87" s="86" t="s">
        <v>156</v>
      </c>
      <c r="C87" s="72"/>
      <c r="D87" s="73"/>
      <c r="E87" s="74"/>
      <c r="F87" s="72"/>
      <c r="G87" s="72"/>
      <c r="H87" s="74"/>
      <c r="I87" s="72"/>
      <c r="J87" s="72"/>
      <c r="K87" s="74"/>
      <c r="L87" s="62"/>
    </row>
    <row r="88" spans="1:12" ht="21.75" customHeight="1">
      <c r="A88" s="87">
        <v>1</v>
      </c>
      <c r="B88" s="64" t="s">
        <v>158</v>
      </c>
      <c r="C88" s="6">
        <v>10</v>
      </c>
      <c r="D88" s="6">
        <v>345</v>
      </c>
      <c r="E88" s="6">
        <v>237</v>
      </c>
      <c r="F88" s="6"/>
      <c r="G88" s="6"/>
      <c r="H88" s="6"/>
      <c r="I88" s="6">
        <v>10</v>
      </c>
      <c r="J88" s="6">
        <v>345</v>
      </c>
      <c r="K88" s="6">
        <v>237</v>
      </c>
      <c r="L88" s="136">
        <f>E88*1210*0.5*5+E88*1300*0.5*4</f>
        <v>1333125</v>
      </c>
    </row>
    <row r="89" spans="1:12" ht="21.75" customHeight="1">
      <c r="A89" s="87">
        <v>2</v>
      </c>
      <c r="B89" s="64" t="s">
        <v>159</v>
      </c>
      <c r="C89" s="6">
        <v>10</v>
      </c>
      <c r="D89" s="6">
        <v>389</v>
      </c>
      <c r="E89" s="6">
        <v>297</v>
      </c>
      <c r="F89" s="6"/>
      <c r="G89" s="6"/>
      <c r="H89" s="6"/>
      <c r="I89" s="6">
        <v>10</v>
      </c>
      <c r="J89" s="6">
        <v>389</v>
      </c>
      <c r="K89" s="6">
        <v>297</v>
      </c>
      <c r="L89" s="136">
        <f>E89*1210*0.5*5+E89*1300*0.5*4</f>
        <v>1670625</v>
      </c>
    </row>
    <row r="90" spans="1:12" ht="21.75" customHeight="1">
      <c r="A90" s="64"/>
      <c r="B90" s="86" t="s">
        <v>180</v>
      </c>
      <c r="C90" s="6"/>
      <c r="D90" s="66"/>
      <c r="E90" s="6"/>
      <c r="F90" s="6"/>
      <c r="G90" s="6"/>
      <c r="H90" s="6"/>
      <c r="I90" s="6"/>
      <c r="J90" s="6"/>
      <c r="K90" s="6"/>
      <c r="L90" s="65"/>
    </row>
    <row r="91" spans="1:12" ht="21.75" customHeight="1">
      <c r="A91" s="88">
        <v>1</v>
      </c>
      <c r="B91" s="64" t="s">
        <v>176</v>
      </c>
      <c r="C91" s="66">
        <v>12</v>
      </c>
      <c r="D91" s="66">
        <v>395</v>
      </c>
      <c r="E91" s="66">
        <v>230</v>
      </c>
      <c r="F91" s="66"/>
      <c r="G91" s="66"/>
      <c r="H91" s="66"/>
      <c r="I91" s="66">
        <v>12</v>
      </c>
      <c r="J91" s="66">
        <v>395</v>
      </c>
      <c r="K91" s="66">
        <v>230</v>
      </c>
      <c r="L91" s="136">
        <f>E91*1210*0.5*5+E91*1300*0.5*4</f>
        <v>1293750</v>
      </c>
    </row>
    <row r="92" spans="1:12" ht="21.75" customHeight="1">
      <c r="A92" s="88">
        <v>2</v>
      </c>
      <c r="B92" s="64" t="s">
        <v>177</v>
      </c>
      <c r="C92" s="66">
        <v>28</v>
      </c>
      <c r="D92" s="66">
        <v>393</v>
      </c>
      <c r="E92" s="66">
        <v>77</v>
      </c>
      <c r="F92" s="66">
        <v>22</v>
      </c>
      <c r="G92" s="66">
        <v>223</v>
      </c>
      <c r="H92" s="66">
        <v>4</v>
      </c>
      <c r="I92" s="66">
        <v>6</v>
      </c>
      <c r="J92" s="66">
        <v>170</v>
      </c>
      <c r="K92" s="66">
        <v>73</v>
      </c>
      <c r="L92" s="136">
        <f>E92*1210*0.5*5+E92*1300*0.5*4</f>
        <v>433125</v>
      </c>
    </row>
    <row r="93" spans="1:12" ht="21.75" customHeight="1">
      <c r="A93" s="88">
        <v>3</v>
      </c>
      <c r="B93" s="64" t="s">
        <v>178</v>
      </c>
      <c r="C93" s="66">
        <v>27</v>
      </c>
      <c r="D93" s="66">
        <v>312</v>
      </c>
      <c r="E93" s="66">
        <v>85</v>
      </c>
      <c r="F93" s="66">
        <v>23</v>
      </c>
      <c r="G93" s="66">
        <v>175</v>
      </c>
      <c r="H93" s="66"/>
      <c r="I93" s="66">
        <v>4</v>
      </c>
      <c r="J93" s="66">
        <v>137</v>
      </c>
      <c r="K93" s="66">
        <v>85</v>
      </c>
      <c r="L93" s="136">
        <f>E93*1210*0.5*5+E93*1300*0.5*4</f>
        <v>478125</v>
      </c>
    </row>
    <row r="94" spans="1:12" ht="21.75" customHeight="1">
      <c r="A94" s="88">
        <v>4</v>
      </c>
      <c r="B94" s="64" t="s">
        <v>179</v>
      </c>
      <c r="C94" s="66">
        <v>33</v>
      </c>
      <c r="D94" s="66">
        <v>752</v>
      </c>
      <c r="E94" s="66">
        <v>103</v>
      </c>
      <c r="F94" s="66">
        <v>25</v>
      </c>
      <c r="G94" s="66">
        <v>465</v>
      </c>
      <c r="H94" s="66">
        <v>0</v>
      </c>
      <c r="I94" s="66">
        <v>8</v>
      </c>
      <c r="J94" s="66">
        <v>287</v>
      </c>
      <c r="K94" s="66">
        <v>103</v>
      </c>
      <c r="L94" s="136">
        <f>E94*1210*0.5*5+E94*1300*0.5*4</f>
        <v>579375</v>
      </c>
    </row>
    <row r="95" spans="1:12" ht="21.75" customHeight="1">
      <c r="A95" s="88"/>
      <c r="B95" s="120" t="s">
        <v>112</v>
      </c>
      <c r="C95" s="137">
        <f>SUM(C88:C94)</f>
        <v>120</v>
      </c>
      <c r="D95" s="137">
        <f aca="true" t="shared" si="3" ref="D95:L95">SUM(D88:D94)</f>
        <v>2586</v>
      </c>
      <c r="E95" s="137">
        <f t="shared" si="3"/>
        <v>1029</v>
      </c>
      <c r="F95" s="137">
        <f t="shared" si="3"/>
        <v>70</v>
      </c>
      <c r="G95" s="137">
        <f t="shared" si="3"/>
        <v>863</v>
      </c>
      <c r="H95" s="137">
        <f t="shared" si="3"/>
        <v>4</v>
      </c>
      <c r="I95" s="137">
        <f t="shared" si="3"/>
        <v>50</v>
      </c>
      <c r="J95" s="137">
        <f t="shared" si="3"/>
        <v>1723</v>
      </c>
      <c r="K95" s="137">
        <f t="shared" si="3"/>
        <v>1025</v>
      </c>
      <c r="L95" s="138">
        <f t="shared" si="3"/>
        <v>5788125</v>
      </c>
    </row>
    <row r="96" ht="16.5">
      <c r="E96" s="208"/>
    </row>
    <row r="106" ht="16.5">
      <c r="A106" s="7" t="s">
        <v>230</v>
      </c>
    </row>
    <row r="107" spans="1:12" ht="16.5" customHeight="1">
      <c r="A107" s="225" t="s">
        <v>10</v>
      </c>
      <c r="B107" s="225" t="s">
        <v>0</v>
      </c>
      <c r="C107" s="225" t="s">
        <v>225</v>
      </c>
      <c r="D107" s="225"/>
      <c r="E107" s="225"/>
      <c r="F107" s="225"/>
      <c r="G107" s="225"/>
      <c r="H107" s="225"/>
      <c r="I107" s="225"/>
      <c r="J107" s="225"/>
      <c r="K107" s="225"/>
      <c r="L107" s="225"/>
    </row>
    <row r="108" spans="1:12" ht="16.5">
      <c r="A108" s="225"/>
      <c r="B108" s="225"/>
      <c r="C108" s="225" t="s">
        <v>2</v>
      </c>
      <c r="D108" s="225"/>
      <c r="E108" s="225"/>
      <c r="F108" s="225" t="s">
        <v>3</v>
      </c>
      <c r="G108" s="225"/>
      <c r="H108" s="225"/>
      <c r="I108" s="225"/>
      <c r="J108" s="225"/>
      <c r="K108" s="225"/>
      <c r="L108" s="225" t="s">
        <v>23</v>
      </c>
    </row>
    <row r="109" spans="1:12" ht="16.5">
      <c r="A109" s="225"/>
      <c r="B109" s="225"/>
      <c r="C109" s="225" t="s">
        <v>4</v>
      </c>
      <c r="D109" s="225" t="s">
        <v>5</v>
      </c>
      <c r="E109" s="225" t="s">
        <v>22</v>
      </c>
      <c r="F109" s="225" t="s">
        <v>7</v>
      </c>
      <c r="G109" s="225"/>
      <c r="H109" s="225"/>
      <c r="I109" s="225" t="s">
        <v>8</v>
      </c>
      <c r="J109" s="225"/>
      <c r="K109" s="225"/>
      <c r="L109" s="225"/>
    </row>
    <row r="110" spans="1:12" ht="56.25" customHeight="1">
      <c r="A110" s="225"/>
      <c r="B110" s="225"/>
      <c r="C110" s="225"/>
      <c r="D110" s="225"/>
      <c r="E110" s="225"/>
      <c r="F110" s="1" t="s">
        <v>9</v>
      </c>
      <c r="G110" s="1" t="s">
        <v>5</v>
      </c>
      <c r="H110" s="1" t="s">
        <v>22</v>
      </c>
      <c r="I110" s="1" t="s">
        <v>9</v>
      </c>
      <c r="J110" s="1" t="s">
        <v>5</v>
      </c>
      <c r="K110" s="1" t="s">
        <v>22</v>
      </c>
      <c r="L110" s="225"/>
    </row>
    <row r="111" spans="1:12" ht="16.5">
      <c r="A111" s="12">
        <v>1</v>
      </c>
      <c r="B111" s="13">
        <v>2</v>
      </c>
      <c r="C111" s="13">
        <v>3</v>
      </c>
      <c r="D111" s="13">
        <v>4</v>
      </c>
      <c r="E111" s="13">
        <v>5</v>
      </c>
      <c r="F111" s="13">
        <v>6</v>
      </c>
      <c r="G111" s="13">
        <v>7</v>
      </c>
      <c r="H111" s="13">
        <v>8</v>
      </c>
      <c r="I111" s="13">
        <v>9</v>
      </c>
      <c r="J111" s="13">
        <v>10</v>
      </c>
      <c r="K111" s="13">
        <v>11</v>
      </c>
      <c r="L111" s="12">
        <v>12</v>
      </c>
    </row>
    <row r="112" spans="1:12" ht="18" customHeight="1">
      <c r="A112" s="9"/>
      <c r="B112" s="86" t="s">
        <v>131</v>
      </c>
      <c r="C112" s="121"/>
      <c r="D112" s="122"/>
      <c r="E112" s="123"/>
      <c r="F112" s="121"/>
      <c r="G112" s="121"/>
      <c r="H112" s="123"/>
      <c r="I112" s="121"/>
      <c r="J112" s="121"/>
      <c r="K112" s="123"/>
      <c r="L112" s="25"/>
    </row>
    <row r="113" spans="1:12" ht="18" customHeight="1">
      <c r="A113" s="11">
        <v>1</v>
      </c>
      <c r="B113" s="64" t="s">
        <v>132</v>
      </c>
      <c r="C113" s="66">
        <v>13</v>
      </c>
      <c r="D113" s="66">
        <v>152</v>
      </c>
      <c r="E113" s="66">
        <v>4</v>
      </c>
      <c r="F113" s="66">
        <v>13</v>
      </c>
      <c r="G113" s="66">
        <v>152</v>
      </c>
      <c r="H113" s="66">
        <v>4</v>
      </c>
      <c r="I113" s="3"/>
      <c r="J113" s="3"/>
      <c r="K113" s="3"/>
      <c r="L113" s="80">
        <v>9680</v>
      </c>
    </row>
    <row r="114" spans="1:12" ht="18" customHeight="1">
      <c r="A114" s="11">
        <v>2</v>
      </c>
      <c r="B114" s="64" t="s">
        <v>133</v>
      </c>
      <c r="C114" s="66">
        <v>5</v>
      </c>
      <c r="D114" s="66">
        <v>82</v>
      </c>
      <c r="E114" s="66">
        <v>68</v>
      </c>
      <c r="F114" s="66">
        <v>5</v>
      </c>
      <c r="G114" s="66">
        <v>73</v>
      </c>
      <c r="H114" s="66">
        <v>68</v>
      </c>
      <c r="I114" s="66"/>
      <c r="J114" s="66"/>
      <c r="K114" s="66"/>
      <c r="L114" s="80">
        <v>261360</v>
      </c>
    </row>
    <row r="115" spans="1:12" ht="18" customHeight="1">
      <c r="A115" s="11">
        <v>3</v>
      </c>
      <c r="B115" s="64" t="s">
        <v>134</v>
      </c>
      <c r="C115" s="70">
        <v>10</v>
      </c>
      <c r="D115" s="70">
        <f>26+20+21+21+28</f>
        <v>116</v>
      </c>
      <c r="E115" s="70">
        <v>32</v>
      </c>
      <c r="F115" s="70">
        <v>10</v>
      </c>
      <c r="G115" s="70">
        <v>116</v>
      </c>
      <c r="H115" s="70">
        <v>32</v>
      </c>
      <c r="I115" s="70"/>
      <c r="J115" s="70"/>
      <c r="K115" s="70"/>
      <c r="L115" s="80">
        <v>130680</v>
      </c>
    </row>
    <row r="116" spans="1:12" ht="18" customHeight="1">
      <c r="A116" s="9"/>
      <c r="B116" s="86" t="s">
        <v>143</v>
      </c>
      <c r="C116" s="3"/>
      <c r="D116" s="3"/>
      <c r="E116" s="3"/>
      <c r="F116" s="3"/>
      <c r="G116" s="3"/>
      <c r="H116" s="3"/>
      <c r="I116" s="3"/>
      <c r="J116" s="3"/>
      <c r="K116" s="3"/>
      <c r="L116" s="80"/>
    </row>
    <row r="117" spans="1:12" ht="18" customHeight="1">
      <c r="A117" s="11">
        <v>1</v>
      </c>
      <c r="B117" s="64" t="s">
        <v>144</v>
      </c>
      <c r="C117" s="139">
        <v>7</v>
      </c>
      <c r="D117" s="139">
        <v>86</v>
      </c>
      <c r="E117" s="139">
        <v>86</v>
      </c>
      <c r="F117" s="139">
        <v>7</v>
      </c>
      <c r="G117" s="139">
        <v>86</v>
      </c>
      <c r="H117" s="139">
        <v>86</v>
      </c>
      <c r="I117" s="140"/>
      <c r="J117" s="140"/>
      <c r="K117" s="140"/>
      <c r="L117" s="141">
        <v>422895</v>
      </c>
    </row>
    <row r="118" spans="1:12" ht="18" customHeight="1">
      <c r="A118" s="11">
        <v>2</v>
      </c>
      <c r="B118" s="64" t="s">
        <v>145</v>
      </c>
      <c r="C118" s="66">
        <v>13</v>
      </c>
      <c r="D118" s="66">
        <v>216</v>
      </c>
      <c r="E118" s="91">
        <v>216</v>
      </c>
      <c r="F118" s="66">
        <v>10</v>
      </c>
      <c r="G118" s="66">
        <v>167</v>
      </c>
      <c r="H118" s="66">
        <v>167</v>
      </c>
      <c r="I118" s="66">
        <v>3</v>
      </c>
      <c r="J118" s="66">
        <v>49</v>
      </c>
      <c r="K118" s="66">
        <v>49</v>
      </c>
      <c r="L118" s="92">
        <v>1065405</v>
      </c>
    </row>
    <row r="119" spans="1:12" ht="18" customHeight="1">
      <c r="A119" s="9"/>
      <c r="B119" s="86" t="s">
        <v>156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3"/>
    </row>
    <row r="120" spans="1:12" ht="18" customHeight="1">
      <c r="A120" s="11">
        <v>1</v>
      </c>
      <c r="B120" s="64" t="s">
        <v>160</v>
      </c>
      <c r="C120" s="146">
        <v>32</v>
      </c>
      <c r="D120" s="146">
        <v>579</v>
      </c>
      <c r="E120" s="146">
        <v>49</v>
      </c>
      <c r="F120" s="144">
        <v>20</v>
      </c>
      <c r="G120" s="144">
        <v>307</v>
      </c>
      <c r="H120" s="144">
        <v>22</v>
      </c>
      <c r="I120" s="144">
        <v>12</v>
      </c>
      <c r="J120" s="144">
        <v>272</v>
      </c>
      <c r="K120" s="146">
        <v>27</v>
      </c>
      <c r="L120" s="145">
        <v>266805</v>
      </c>
    </row>
    <row r="121" spans="1:12" ht="18" customHeight="1">
      <c r="A121" s="11">
        <v>2</v>
      </c>
      <c r="B121" s="207" t="s">
        <v>231</v>
      </c>
      <c r="C121" s="146">
        <v>44</v>
      </c>
      <c r="D121" s="146">
        <v>742</v>
      </c>
      <c r="E121" s="146">
        <v>236</v>
      </c>
      <c r="F121" s="146"/>
      <c r="G121" s="146"/>
      <c r="H121" s="146"/>
      <c r="I121" s="146">
        <v>9</v>
      </c>
      <c r="J121" s="146">
        <v>236</v>
      </c>
      <c r="K121" s="146">
        <v>236</v>
      </c>
      <c r="L121" s="145">
        <f>1294700</f>
        <v>1294700</v>
      </c>
    </row>
    <row r="122" spans="1:12" ht="18" customHeight="1">
      <c r="A122" s="11">
        <v>3</v>
      </c>
      <c r="B122" s="207" t="s">
        <v>228</v>
      </c>
      <c r="C122" s="146">
        <v>27</v>
      </c>
      <c r="D122" s="146">
        <f>417</f>
        <v>417</v>
      </c>
      <c r="E122" s="146">
        <f>124</f>
        <v>124</v>
      </c>
      <c r="F122" s="146">
        <v>20</v>
      </c>
      <c r="G122" s="146">
        <v>230</v>
      </c>
      <c r="H122" s="146">
        <v>0</v>
      </c>
      <c r="I122" s="146">
        <v>7</v>
      </c>
      <c r="J122" s="146">
        <v>187</v>
      </c>
      <c r="K122" s="146">
        <v>124</v>
      </c>
      <c r="L122" s="145">
        <f>288464+346665</f>
        <v>635129</v>
      </c>
    </row>
    <row r="123" spans="1:12" ht="18" customHeight="1">
      <c r="A123" s="11">
        <v>4</v>
      </c>
      <c r="B123" s="64" t="s">
        <v>161</v>
      </c>
      <c r="C123" s="146">
        <v>16</v>
      </c>
      <c r="D123" s="146">
        <v>262</v>
      </c>
      <c r="E123" s="146">
        <v>55</v>
      </c>
      <c r="F123" s="146">
        <v>12</v>
      </c>
      <c r="G123" s="146">
        <v>149</v>
      </c>
      <c r="H123" s="146">
        <v>17</v>
      </c>
      <c r="I123" s="146">
        <v>4</v>
      </c>
      <c r="J123" s="146">
        <v>113</v>
      </c>
      <c r="K123" s="146">
        <v>38</v>
      </c>
      <c r="L123" s="145">
        <v>291225</v>
      </c>
    </row>
    <row r="124" spans="1:12" ht="18" customHeight="1">
      <c r="A124" s="11">
        <v>5</v>
      </c>
      <c r="B124" s="64" t="s">
        <v>229</v>
      </c>
      <c r="C124" s="146">
        <v>19</v>
      </c>
      <c r="D124" s="146">
        <v>635</v>
      </c>
      <c r="E124" s="146">
        <v>343</v>
      </c>
      <c r="F124" s="146"/>
      <c r="G124" s="146"/>
      <c r="H124" s="146"/>
      <c r="I124" s="146">
        <v>19</v>
      </c>
      <c r="J124" s="146">
        <v>635</v>
      </c>
      <c r="K124" s="146">
        <v>343</v>
      </c>
      <c r="L124" s="145">
        <f>927220+404140+605000</f>
        <v>1936360</v>
      </c>
    </row>
    <row r="125" spans="1:12" ht="18" customHeight="1">
      <c r="A125" s="11">
        <v>6</v>
      </c>
      <c r="B125" s="64" t="s">
        <v>162</v>
      </c>
      <c r="C125" s="146">
        <v>10</v>
      </c>
      <c r="D125" s="146">
        <v>318</v>
      </c>
      <c r="E125" s="146">
        <v>76</v>
      </c>
      <c r="F125" s="146"/>
      <c r="G125" s="146"/>
      <c r="H125" s="146"/>
      <c r="I125" s="146">
        <v>10</v>
      </c>
      <c r="J125" s="146">
        <v>318</v>
      </c>
      <c r="K125" s="146">
        <v>76</v>
      </c>
      <c r="L125" s="145">
        <f>K125*0.5*1210*9</f>
        <v>413820</v>
      </c>
    </row>
    <row r="126" spans="1:12" ht="18" customHeight="1">
      <c r="A126" s="9"/>
      <c r="B126" s="86" t="s">
        <v>180</v>
      </c>
      <c r="C126" s="3"/>
      <c r="D126" s="3"/>
      <c r="E126" s="3"/>
      <c r="F126" s="3"/>
      <c r="G126" s="3"/>
      <c r="H126" s="3"/>
      <c r="I126" s="3"/>
      <c r="J126" s="3"/>
      <c r="K126" s="3"/>
      <c r="L126" s="80"/>
    </row>
    <row r="127" spans="1:12" ht="18" customHeight="1">
      <c r="A127" s="30">
        <v>1</v>
      </c>
      <c r="B127" s="64" t="s">
        <v>181</v>
      </c>
      <c r="C127" s="66">
        <v>6</v>
      </c>
      <c r="D127" s="66">
        <v>218</v>
      </c>
      <c r="E127" s="66">
        <v>129</v>
      </c>
      <c r="F127" s="66"/>
      <c r="G127" s="66"/>
      <c r="H127" s="66"/>
      <c r="I127" s="66">
        <v>6</v>
      </c>
      <c r="J127" s="66">
        <v>218</v>
      </c>
      <c r="K127" s="66">
        <v>129</v>
      </c>
      <c r="L127" s="80">
        <v>689579</v>
      </c>
    </row>
    <row r="128" spans="1:12" ht="18" customHeight="1">
      <c r="A128" s="30">
        <v>2</v>
      </c>
      <c r="B128" s="64" t="s">
        <v>182</v>
      </c>
      <c r="C128" s="66">
        <v>43</v>
      </c>
      <c r="D128" s="66">
        <v>894</v>
      </c>
      <c r="E128" s="66">
        <v>187</v>
      </c>
      <c r="F128" s="66">
        <v>34</v>
      </c>
      <c r="G128" s="66">
        <v>576</v>
      </c>
      <c r="H128" s="66">
        <v>0</v>
      </c>
      <c r="I128" s="66">
        <v>9</v>
      </c>
      <c r="J128" s="66">
        <v>318</v>
      </c>
      <c r="K128" s="66">
        <v>187</v>
      </c>
      <c r="L128" s="80">
        <v>1093950</v>
      </c>
    </row>
    <row r="129" spans="1:12" ht="18" customHeight="1">
      <c r="A129" s="30">
        <v>3</v>
      </c>
      <c r="B129" s="64" t="s">
        <v>183</v>
      </c>
      <c r="C129" s="66">
        <v>8</v>
      </c>
      <c r="D129" s="66">
        <v>260</v>
      </c>
      <c r="E129" s="66">
        <v>90</v>
      </c>
      <c r="F129" s="66"/>
      <c r="G129" s="66"/>
      <c r="H129" s="66"/>
      <c r="I129" s="66">
        <v>8</v>
      </c>
      <c r="J129" s="66">
        <v>260</v>
      </c>
      <c r="K129" s="66">
        <v>90</v>
      </c>
      <c r="L129" s="80">
        <v>316018</v>
      </c>
    </row>
    <row r="130" spans="1:12" ht="18" customHeight="1">
      <c r="A130" s="30">
        <v>4</v>
      </c>
      <c r="B130" s="64" t="s">
        <v>184</v>
      </c>
      <c r="C130" s="70">
        <v>11</v>
      </c>
      <c r="D130" s="70">
        <v>382</v>
      </c>
      <c r="E130" s="70">
        <v>228</v>
      </c>
      <c r="F130" s="70"/>
      <c r="G130" s="70"/>
      <c r="H130" s="70"/>
      <c r="I130" s="70">
        <v>11</v>
      </c>
      <c r="J130" s="70">
        <v>382</v>
      </c>
      <c r="K130" s="70">
        <v>228</v>
      </c>
      <c r="L130" s="80">
        <v>1333800</v>
      </c>
    </row>
    <row r="131" spans="1:12" ht="18" customHeight="1">
      <c r="A131" s="25"/>
      <c r="B131" s="119" t="s">
        <v>112</v>
      </c>
      <c r="C131" s="137">
        <f aca="true" t="shared" si="4" ref="C131:K131">SUM(C113:C130)</f>
        <v>264</v>
      </c>
      <c r="D131" s="137">
        <f>SUM(D113:D130)</f>
        <v>5359</v>
      </c>
      <c r="E131" s="137">
        <f t="shared" si="4"/>
        <v>1923</v>
      </c>
      <c r="F131" s="137">
        <f t="shared" si="4"/>
        <v>131</v>
      </c>
      <c r="G131" s="137">
        <f t="shared" si="4"/>
        <v>1856</v>
      </c>
      <c r="H131" s="137">
        <f t="shared" si="4"/>
        <v>396</v>
      </c>
      <c r="I131" s="137">
        <f t="shared" si="4"/>
        <v>98</v>
      </c>
      <c r="J131" s="137">
        <f t="shared" si="4"/>
        <v>2988</v>
      </c>
      <c r="K131" s="137">
        <f t="shared" si="4"/>
        <v>1527</v>
      </c>
      <c r="L131" s="138">
        <f>SUM(L113:L130)</f>
        <v>10161406</v>
      </c>
    </row>
  </sheetData>
  <sheetProtection/>
  <mergeCells count="55">
    <mergeCell ref="A107:A110"/>
    <mergeCell ref="B107:B110"/>
    <mergeCell ref="C107:L107"/>
    <mergeCell ref="C108:E108"/>
    <mergeCell ref="F108:K108"/>
    <mergeCell ref="A82:A85"/>
    <mergeCell ref="B82:B85"/>
    <mergeCell ref="C82:L82"/>
    <mergeCell ref="C83:E83"/>
    <mergeCell ref="C84:C85"/>
    <mergeCell ref="F83:K83"/>
    <mergeCell ref="L83:L85"/>
    <mergeCell ref="E58:E59"/>
    <mergeCell ref="F58:H58"/>
    <mergeCell ref="I58:K58"/>
    <mergeCell ref="I84:K84"/>
    <mergeCell ref="D84:D85"/>
    <mergeCell ref="E84:E85"/>
    <mergeCell ref="F84:H84"/>
    <mergeCell ref="L108:L110"/>
    <mergeCell ref="C109:C110"/>
    <mergeCell ref="D109:D110"/>
    <mergeCell ref="E109:E110"/>
    <mergeCell ref="F109:H109"/>
    <mergeCell ref="I109:K109"/>
    <mergeCell ref="F31:H31"/>
    <mergeCell ref="I31:K31"/>
    <mergeCell ref="A56:A59"/>
    <mergeCell ref="B56:B59"/>
    <mergeCell ref="C56:L56"/>
    <mergeCell ref="C57:E57"/>
    <mergeCell ref="F57:K57"/>
    <mergeCell ref="L57:L59"/>
    <mergeCell ref="C58:C59"/>
    <mergeCell ref="D58:D59"/>
    <mergeCell ref="I7:K7"/>
    <mergeCell ref="A29:A32"/>
    <mergeCell ref="B29:B32"/>
    <mergeCell ref="C29:L29"/>
    <mergeCell ref="C30:E30"/>
    <mergeCell ref="F30:K30"/>
    <mergeCell ref="L30:L32"/>
    <mergeCell ref="C31:C32"/>
    <mergeCell ref="D31:D32"/>
    <mergeCell ref="E31:E32"/>
    <mergeCell ref="A5:A8"/>
    <mergeCell ref="B5:B8"/>
    <mergeCell ref="C5:L5"/>
    <mergeCell ref="C6:E6"/>
    <mergeCell ref="F6:K6"/>
    <mergeCell ref="L6:L8"/>
    <mergeCell ref="C7:C8"/>
    <mergeCell ref="D7:D8"/>
    <mergeCell ref="E7:E8"/>
    <mergeCell ref="F7:H7"/>
  </mergeCells>
  <printOptions horizontalCentered="1"/>
  <pageMargins left="0.5" right="0.5" top="0.75" bottom="0.7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8515625" style="15" customWidth="1"/>
    <col min="2" max="2" width="26.140625" style="15" customWidth="1"/>
    <col min="3" max="3" width="9.140625" style="15" customWidth="1"/>
    <col min="4" max="5" width="7.28125" style="15" customWidth="1"/>
    <col min="6" max="6" width="9.140625" style="15" customWidth="1"/>
    <col min="7" max="7" width="7.28125" style="15" customWidth="1"/>
    <col min="8" max="8" width="5.28125" style="15" customWidth="1"/>
    <col min="9" max="10" width="8.00390625" style="15" customWidth="1"/>
    <col min="11" max="11" width="5.8515625" style="15" customWidth="1"/>
    <col min="12" max="12" width="8.00390625" style="15" customWidth="1"/>
    <col min="13" max="13" width="5.7109375" style="15" customWidth="1"/>
    <col min="14" max="14" width="9.140625" style="15" customWidth="1"/>
    <col min="15" max="15" width="5.7109375" style="15" customWidth="1"/>
    <col min="16" max="16" width="11.28125" style="15" customWidth="1"/>
    <col min="17" max="16384" width="9.140625" style="15" customWidth="1"/>
  </cols>
  <sheetData>
    <row r="1" spans="1:16" ht="14.25" customHeight="1">
      <c r="A1" s="227" t="s">
        <v>232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0.25" customHeight="1">
      <c r="A3" s="14" t="s">
        <v>233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t="18.75" customHeight="1">
      <c r="A4" s="226" t="s">
        <v>10</v>
      </c>
      <c r="B4" s="226" t="s">
        <v>0</v>
      </c>
      <c r="C4" s="226" t="s">
        <v>24</v>
      </c>
      <c r="D4" s="226" t="s">
        <v>27</v>
      </c>
      <c r="E4" s="226" t="s">
        <v>26</v>
      </c>
      <c r="F4" s="226" t="s">
        <v>28</v>
      </c>
      <c r="G4" s="226" t="s">
        <v>150</v>
      </c>
      <c r="H4" s="226" t="s">
        <v>38</v>
      </c>
      <c r="I4" s="226"/>
      <c r="J4" s="226"/>
      <c r="K4" s="226"/>
      <c r="L4" s="226"/>
      <c r="M4" s="226"/>
      <c r="N4" s="226"/>
      <c r="O4" s="226"/>
      <c r="P4" s="226" t="s">
        <v>39</v>
      </c>
      <c r="Q4" s="226" t="s">
        <v>129</v>
      </c>
    </row>
    <row r="5" spans="1:17" ht="69.75" customHeight="1">
      <c r="A5" s="226"/>
      <c r="B5" s="226"/>
      <c r="C5" s="226"/>
      <c r="D5" s="226" t="s">
        <v>25</v>
      </c>
      <c r="E5" s="226"/>
      <c r="F5" s="226"/>
      <c r="G5" s="226"/>
      <c r="H5" s="16" t="s">
        <v>30</v>
      </c>
      <c r="I5" s="16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 t="s">
        <v>36</v>
      </c>
      <c r="O5" s="16" t="s">
        <v>37</v>
      </c>
      <c r="P5" s="226"/>
      <c r="Q5" s="226"/>
    </row>
    <row r="6" spans="1:17" ht="18.7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63">
        <v>17</v>
      </c>
    </row>
    <row r="7" spans="1:17" ht="21.75" customHeight="1">
      <c r="A7" s="11">
        <v>1</v>
      </c>
      <c r="B7" s="64" t="s">
        <v>149</v>
      </c>
      <c r="C7" s="125">
        <f aca="true" t="shared" si="0" ref="C7:C17">SUM(D7:O7)</f>
        <v>32</v>
      </c>
      <c r="D7" s="126">
        <v>3</v>
      </c>
      <c r="E7" s="126"/>
      <c r="F7" s="126"/>
      <c r="G7" s="126">
        <v>20</v>
      </c>
      <c r="H7" s="126">
        <v>1</v>
      </c>
      <c r="I7" s="126">
        <v>1</v>
      </c>
      <c r="J7" s="126">
        <v>1</v>
      </c>
      <c r="K7" s="126">
        <v>1</v>
      </c>
      <c r="L7" s="126">
        <v>2</v>
      </c>
      <c r="M7" s="126">
        <v>1</v>
      </c>
      <c r="N7" s="126"/>
      <c r="O7" s="126">
        <v>2</v>
      </c>
      <c r="P7" s="130">
        <v>1300000</v>
      </c>
      <c r="Q7" s="126">
        <v>3</v>
      </c>
    </row>
    <row r="8" spans="1:17" ht="21.75" customHeight="1">
      <c r="A8" s="11">
        <v>2</v>
      </c>
      <c r="B8" s="64" t="s">
        <v>135</v>
      </c>
      <c r="C8" s="125">
        <f t="shared" si="0"/>
        <v>31</v>
      </c>
      <c r="D8" s="126">
        <v>3</v>
      </c>
      <c r="E8" s="126">
        <v>0</v>
      </c>
      <c r="F8" s="126"/>
      <c r="G8" s="126">
        <v>20</v>
      </c>
      <c r="H8" s="126">
        <v>1</v>
      </c>
      <c r="I8" s="126">
        <v>1</v>
      </c>
      <c r="J8" s="126">
        <v>1</v>
      </c>
      <c r="K8" s="126">
        <v>1</v>
      </c>
      <c r="L8" s="126">
        <v>2</v>
      </c>
      <c r="M8" s="126">
        <v>1</v>
      </c>
      <c r="N8" s="126"/>
      <c r="O8" s="126">
        <v>1</v>
      </c>
      <c r="P8" s="127">
        <v>1144987.3</v>
      </c>
      <c r="Q8" s="126">
        <v>7</v>
      </c>
    </row>
    <row r="9" spans="1:17" ht="21.75" customHeight="1">
      <c r="A9" s="11">
        <v>3</v>
      </c>
      <c r="B9" s="64" t="s">
        <v>146</v>
      </c>
      <c r="C9" s="125">
        <f t="shared" si="0"/>
        <v>25</v>
      </c>
      <c r="D9" s="126">
        <v>3</v>
      </c>
      <c r="E9" s="126">
        <v>1</v>
      </c>
      <c r="F9" s="126"/>
      <c r="G9" s="126">
        <v>14</v>
      </c>
      <c r="H9" s="126">
        <v>0</v>
      </c>
      <c r="I9" s="126">
        <v>0</v>
      </c>
      <c r="J9" s="126">
        <v>1</v>
      </c>
      <c r="K9" s="126">
        <v>1</v>
      </c>
      <c r="L9" s="126">
        <v>2</v>
      </c>
      <c r="M9" s="126">
        <v>1</v>
      </c>
      <c r="N9" s="126"/>
      <c r="O9" s="126">
        <v>2</v>
      </c>
      <c r="P9" s="127">
        <v>747852</v>
      </c>
      <c r="Q9" s="126">
        <v>6</v>
      </c>
    </row>
    <row r="10" spans="1:17" ht="21.75" customHeight="1">
      <c r="A10" s="11">
        <v>4</v>
      </c>
      <c r="B10" s="64" t="s">
        <v>164</v>
      </c>
      <c r="C10" s="125">
        <f t="shared" si="0"/>
        <v>28</v>
      </c>
      <c r="D10" s="126">
        <v>3</v>
      </c>
      <c r="E10" s="126">
        <v>1</v>
      </c>
      <c r="F10" s="126"/>
      <c r="G10" s="126">
        <v>16</v>
      </c>
      <c r="H10" s="126">
        <v>1</v>
      </c>
      <c r="I10" s="126">
        <v>1</v>
      </c>
      <c r="J10" s="126">
        <v>1</v>
      </c>
      <c r="K10" s="126">
        <v>1</v>
      </c>
      <c r="L10" s="126">
        <v>2</v>
      </c>
      <c r="M10" s="126">
        <v>1</v>
      </c>
      <c r="N10" s="126"/>
      <c r="O10" s="126">
        <v>1</v>
      </c>
      <c r="P10" s="130">
        <v>1102252</v>
      </c>
      <c r="Q10" s="126"/>
    </row>
    <row r="11" spans="1:17" ht="21.75" customHeight="1">
      <c r="A11" s="11">
        <v>5</v>
      </c>
      <c r="B11" s="64" t="s">
        <v>173</v>
      </c>
      <c r="C11" s="125">
        <f t="shared" si="0"/>
        <v>30</v>
      </c>
      <c r="D11" s="126">
        <v>3</v>
      </c>
      <c r="E11" s="126">
        <v>1</v>
      </c>
      <c r="F11" s="126">
        <v>0</v>
      </c>
      <c r="G11" s="126">
        <v>19</v>
      </c>
      <c r="H11" s="126">
        <v>1</v>
      </c>
      <c r="I11" s="126">
        <v>1</v>
      </c>
      <c r="J11" s="126">
        <v>1</v>
      </c>
      <c r="K11" s="126">
        <v>1</v>
      </c>
      <c r="L11" s="126">
        <v>1</v>
      </c>
      <c r="M11" s="126">
        <v>1</v>
      </c>
      <c r="N11" s="126">
        <v>0</v>
      </c>
      <c r="O11" s="126">
        <v>1</v>
      </c>
      <c r="P11" s="173">
        <v>982715</v>
      </c>
      <c r="Q11" s="126">
        <v>6</v>
      </c>
    </row>
    <row r="12" spans="1:17" ht="21.75" customHeight="1">
      <c r="A12" s="11">
        <v>6</v>
      </c>
      <c r="B12" s="64" t="s">
        <v>158</v>
      </c>
      <c r="C12" s="125">
        <f t="shared" si="0"/>
        <v>22</v>
      </c>
      <c r="D12" s="128">
        <v>2</v>
      </c>
      <c r="E12" s="128">
        <v>1</v>
      </c>
      <c r="F12" s="128"/>
      <c r="G12" s="128">
        <v>17</v>
      </c>
      <c r="H12" s="128">
        <v>1</v>
      </c>
      <c r="I12" s="128"/>
      <c r="J12" s="128"/>
      <c r="K12" s="128"/>
      <c r="L12" s="128"/>
      <c r="M12" s="128">
        <v>1</v>
      </c>
      <c r="N12" s="128"/>
      <c r="O12" s="128"/>
      <c r="P12" s="131">
        <f>20*0.3*1210*12</f>
        <v>87120</v>
      </c>
      <c r="Q12" s="126"/>
    </row>
    <row r="13" spans="1:17" ht="21.75" customHeight="1">
      <c r="A13" s="11">
        <v>7</v>
      </c>
      <c r="B13" s="64" t="s">
        <v>157</v>
      </c>
      <c r="C13" s="125">
        <f t="shared" si="0"/>
        <v>22</v>
      </c>
      <c r="D13" s="128">
        <v>1</v>
      </c>
      <c r="E13" s="128">
        <v>1</v>
      </c>
      <c r="F13" s="128"/>
      <c r="G13" s="128">
        <v>17</v>
      </c>
      <c r="H13" s="128">
        <v>1</v>
      </c>
      <c r="I13" s="128"/>
      <c r="J13" s="128"/>
      <c r="K13" s="128"/>
      <c r="L13" s="128">
        <v>1</v>
      </c>
      <c r="M13" s="128">
        <v>1</v>
      </c>
      <c r="N13" s="128"/>
      <c r="O13" s="128"/>
      <c r="P13" s="131">
        <f>19*0.3*1150*12</f>
        <v>78660</v>
      </c>
      <c r="Q13" s="128">
        <v>3</v>
      </c>
    </row>
    <row r="14" spans="1:17" ht="21.75" customHeight="1">
      <c r="A14" s="11">
        <v>8</v>
      </c>
      <c r="B14" s="64" t="s">
        <v>176</v>
      </c>
      <c r="C14" s="125">
        <f t="shared" si="0"/>
        <v>28</v>
      </c>
      <c r="D14" s="126">
        <v>2</v>
      </c>
      <c r="E14" s="126">
        <v>1</v>
      </c>
      <c r="F14" s="126">
        <v>0</v>
      </c>
      <c r="G14" s="126">
        <v>20</v>
      </c>
      <c r="H14" s="126">
        <v>1</v>
      </c>
      <c r="I14" s="126">
        <v>1</v>
      </c>
      <c r="J14" s="126">
        <v>0</v>
      </c>
      <c r="K14" s="126">
        <v>1</v>
      </c>
      <c r="L14" s="126">
        <v>1</v>
      </c>
      <c r="M14" s="126">
        <v>1</v>
      </c>
      <c r="N14" s="126">
        <v>0</v>
      </c>
      <c r="O14" s="126">
        <v>0</v>
      </c>
      <c r="P14" s="127">
        <v>7935</v>
      </c>
      <c r="Q14" s="126">
        <v>1</v>
      </c>
    </row>
    <row r="15" spans="1:17" ht="21.75" customHeight="1">
      <c r="A15" s="11">
        <v>9</v>
      </c>
      <c r="B15" s="64" t="s">
        <v>177</v>
      </c>
      <c r="C15" s="125">
        <f t="shared" si="0"/>
        <v>38</v>
      </c>
      <c r="D15" s="126">
        <v>3</v>
      </c>
      <c r="E15" s="126">
        <v>1</v>
      </c>
      <c r="F15" s="126">
        <v>19</v>
      </c>
      <c r="G15" s="126">
        <v>10</v>
      </c>
      <c r="H15" s="126"/>
      <c r="I15" s="126">
        <v>1</v>
      </c>
      <c r="J15" s="126">
        <v>1</v>
      </c>
      <c r="K15" s="126">
        <v>1</v>
      </c>
      <c r="L15" s="126">
        <v>1</v>
      </c>
      <c r="M15" s="126">
        <v>1</v>
      </c>
      <c r="N15" s="126"/>
      <c r="O15" s="126"/>
      <c r="P15" s="127">
        <v>148104</v>
      </c>
      <c r="Q15" s="126"/>
    </row>
    <row r="16" spans="1:17" ht="21.75" customHeight="1">
      <c r="A16" s="11">
        <v>10</v>
      </c>
      <c r="B16" s="64" t="s">
        <v>178</v>
      </c>
      <c r="C16" s="125">
        <f t="shared" si="0"/>
        <v>38</v>
      </c>
      <c r="D16" s="126">
        <v>3</v>
      </c>
      <c r="E16" s="126">
        <v>1</v>
      </c>
      <c r="F16" s="126">
        <v>22</v>
      </c>
      <c r="G16" s="126">
        <v>9</v>
      </c>
      <c r="H16" s="126">
        <v>1</v>
      </c>
      <c r="I16" s="126"/>
      <c r="J16" s="126"/>
      <c r="K16" s="126">
        <v>1</v>
      </c>
      <c r="L16" s="126">
        <v>1</v>
      </c>
      <c r="M16" s="126"/>
      <c r="N16" s="126"/>
      <c r="O16" s="126"/>
      <c r="P16" s="127">
        <v>163800</v>
      </c>
      <c r="Q16" s="126"/>
    </row>
    <row r="17" spans="1:17" ht="21.75" customHeight="1">
      <c r="A17" s="11">
        <v>11</v>
      </c>
      <c r="B17" s="64" t="s">
        <v>179</v>
      </c>
      <c r="C17" s="125">
        <f t="shared" si="0"/>
        <v>49</v>
      </c>
      <c r="D17" s="126">
        <v>3</v>
      </c>
      <c r="E17" s="126">
        <v>1</v>
      </c>
      <c r="F17" s="126">
        <v>28</v>
      </c>
      <c r="G17" s="126">
        <v>12</v>
      </c>
      <c r="H17" s="126">
        <v>1</v>
      </c>
      <c r="I17" s="126">
        <v>1</v>
      </c>
      <c r="J17" s="126"/>
      <c r="K17" s="126">
        <v>1</v>
      </c>
      <c r="L17" s="126">
        <v>1</v>
      </c>
      <c r="M17" s="126">
        <v>1</v>
      </c>
      <c r="N17" s="126"/>
      <c r="O17" s="126"/>
      <c r="P17" s="127">
        <v>191664</v>
      </c>
      <c r="Q17" s="126">
        <v>2</v>
      </c>
    </row>
    <row r="18" spans="1:17" ht="21.75" customHeight="1">
      <c r="A18" s="11"/>
      <c r="B18" s="124" t="s">
        <v>112</v>
      </c>
      <c r="C18" s="129">
        <f>SUM(C7:C17)</f>
        <v>343</v>
      </c>
      <c r="D18" s="129">
        <f>SUM(D7:D17)</f>
        <v>29</v>
      </c>
      <c r="E18" s="129">
        <f aca="true" t="shared" si="1" ref="E18:Q18">SUM(E7:E17)</f>
        <v>9</v>
      </c>
      <c r="F18" s="129">
        <f t="shared" si="1"/>
        <v>69</v>
      </c>
      <c r="G18" s="129">
        <f t="shared" si="1"/>
        <v>174</v>
      </c>
      <c r="H18" s="129">
        <f t="shared" si="1"/>
        <v>9</v>
      </c>
      <c r="I18" s="129">
        <f t="shared" si="1"/>
        <v>7</v>
      </c>
      <c r="J18" s="129">
        <f t="shared" si="1"/>
        <v>6</v>
      </c>
      <c r="K18" s="129">
        <f t="shared" si="1"/>
        <v>9</v>
      </c>
      <c r="L18" s="129">
        <f t="shared" si="1"/>
        <v>14</v>
      </c>
      <c r="M18" s="129">
        <f t="shared" si="1"/>
        <v>10</v>
      </c>
      <c r="N18" s="129">
        <f t="shared" si="1"/>
        <v>0</v>
      </c>
      <c r="O18" s="129">
        <f t="shared" si="1"/>
        <v>7</v>
      </c>
      <c r="P18" s="132">
        <f>SUM(P7:P17)</f>
        <v>5955089.3</v>
      </c>
      <c r="Q18" s="129">
        <f t="shared" si="1"/>
        <v>28</v>
      </c>
    </row>
    <row r="27" spans="1:16" ht="20.25" customHeight="1">
      <c r="A27" s="14" t="s">
        <v>234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7" ht="18.75" customHeight="1">
      <c r="A28" s="226" t="s">
        <v>10</v>
      </c>
      <c r="B28" s="226" t="s">
        <v>0</v>
      </c>
      <c r="C28" s="226" t="s">
        <v>24</v>
      </c>
      <c r="D28" s="226" t="s">
        <v>27</v>
      </c>
      <c r="E28" s="226" t="s">
        <v>26</v>
      </c>
      <c r="F28" s="226" t="s">
        <v>28</v>
      </c>
      <c r="G28" s="226" t="s">
        <v>29</v>
      </c>
      <c r="H28" s="226" t="s">
        <v>38</v>
      </c>
      <c r="I28" s="226"/>
      <c r="J28" s="226"/>
      <c r="K28" s="226"/>
      <c r="L28" s="226"/>
      <c r="M28" s="226"/>
      <c r="N28" s="226"/>
      <c r="O28" s="226"/>
      <c r="P28" s="226" t="s">
        <v>39</v>
      </c>
      <c r="Q28" s="226" t="s">
        <v>129</v>
      </c>
    </row>
    <row r="29" spans="1:17" ht="69.75" customHeight="1">
      <c r="A29" s="226"/>
      <c r="B29" s="226"/>
      <c r="C29" s="226"/>
      <c r="D29" s="226" t="s">
        <v>25</v>
      </c>
      <c r="E29" s="226"/>
      <c r="F29" s="226"/>
      <c r="G29" s="226"/>
      <c r="H29" s="16" t="s">
        <v>30</v>
      </c>
      <c r="I29" s="16" t="s">
        <v>31</v>
      </c>
      <c r="J29" s="16" t="s">
        <v>32</v>
      </c>
      <c r="K29" s="16" t="s">
        <v>33</v>
      </c>
      <c r="L29" s="16" t="s">
        <v>34</v>
      </c>
      <c r="M29" s="16" t="s">
        <v>35</v>
      </c>
      <c r="N29" s="16" t="s">
        <v>36</v>
      </c>
      <c r="O29" s="16" t="s">
        <v>37</v>
      </c>
      <c r="P29" s="226"/>
      <c r="Q29" s="226"/>
    </row>
    <row r="30" spans="1:17" ht="18.75" customHeight="1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  <c r="J30" s="13">
        <v>10</v>
      </c>
      <c r="K30" s="13">
        <v>11</v>
      </c>
      <c r="L30" s="13">
        <v>12</v>
      </c>
      <c r="M30" s="13">
        <v>13</v>
      </c>
      <c r="N30" s="13">
        <v>14</v>
      </c>
      <c r="O30" s="13">
        <v>15</v>
      </c>
      <c r="P30" s="13">
        <v>16</v>
      </c>
      <c r="Q30" s="63">
        <v>17</v>
      </c>
    </row>
    <row r="31" spans="1:17" ht="21.75" customHeight="1">
      <c r="A31" s="89">
        <v>1</v>
      </c>
      <c r="B31" s="64" t="s">
        <v>149</v>
      </c>
      <c r="C31" s="125">
        <v>32</v>
      </c>
      <c r="D31" s="126">
        <v>3</v>
      </c>
      <c r="E31" s="126"/>
      <c r="F31" s="126"/>
      <c r="G31" s="126">
        <v>20</v>
      </c>
      <c r="H31" s="126">
        <v>1</v>
      </c>
      <c r="I31" s="126">
        <v>1</v>
      </c>
      <c r="J31" s="126">
        <v>1</v>
      </c>
      <c r="K31" s="126">
        <v>1</v>
      </c>
      <c r="L31" s="126">
        <v>2</v>
      </c>
      <c r="M31" s="126">
        <v>1</v>
      </c>
      <c r="N31" s="126"/>
      <c r="O31" s="126">
        <v>2</v>
      </c>
      <c r="P31" s="130">
        <v>1350000</v>
      </c>
      <c r="Q31" s="89">
        <v>3</v>
      </c>
    </row>
    <row r="32" spans="1:17" ht="21.75" customHeight="1">
      <c r="A32" s="89">
        <v>2</v>
      </c>
      <c r="B32" s="64" t="s">
        <v>135</v>
      </c>
      <c r="C32" s="126">
        <v>31</v>
      </c>
      <c r="D32" s="126">
        <v>3</v>
      </c>
      <c r="E32" s="126">
        <v>0</v>
      </c>
      <c r="F32" s="126"/>
      <c r="G32" s="126">
        <v>20</v>
      </c>
      <c r="H32" s="126">
        <v>1</v>
      </c>
      <c r="I32" s="126">
        <v>1</v>
      </c>
      <c r="J32" s="126">
        <v>1</v>
      </c>
      <c r="K32" s="126">
        <v>1</v>
      </c>
      <c r="L32" s="126">
        <v>2</v>
      </c>
      <c r="M32" s="126">
        <v>1</v>
      </c>
      <c r="N32" s="126"/>
      <c r="O32" s="126">
        <v>1</v>
      </c>
      <c r="P32" s="127">
        <v>1207910.1</v>
      </c>
      <c r="Q32" s="89">
        <v>7</v>
      </c>
    </row>
    <row r="33" spans="1:17" ht="21.75" customHeight="1">
      <c r="A33" s="89">
        <v>3</v>
      </c>
      <c r="B33" s="64" t="s">
        <v>146</v>
      </c>
      <c r="C33" s="125">
        <v>25</v>
      </c>
      <c r="D33" s="126">
        <v>3</v>
      </c>
      <c r="E33" s="126">
        <v>1</v>
      </c>
      <c r="F33" s="126"/>
      <c r="G33" s="126">
        <v>14</v>
      </c>
      <c r="H33" s="126">
        <v>0</v>
      </c>
      <c r="I33" s="126">
        <v>0</v>
      </c>
      <c r="J33" s="126">
        <v>1</v>
      </c>
      <c r="K33" s="126">
        <v>1</v>
      </c>
      <c r="L33" s="126">
        <v>2</v>
      </c>
      <c r="M33" s="126">
        <v>1</v>
      </c>
      <c r="N33" s="126"/>
      <c r="O33" s="126">
        <v>2</v>
      </c>
      <c r="P33" s="127">
        <v>756982</v>
      </c>
      <c r="Q33" s="89">
        <v>6</v>
      </c>
    </row>
    <row r="34" spans="1:17" ht="21.75" customHeight="1">
      <c r="A34" s="89">
        <v>4</v>
      </c>
      <c r="B34" s="64" t="s">
        <v>163</v>
      </c>
      <c r="C34" s="125">
        <v>29</v>
      </c>
      <c r="D34" s="126">
        <v>3</v>
      </c>
      <c r="E34" s="126">
        <v>1</v>
      </c>
      <c r="F34" s="126"/>
      <c r="G34" s="126">
        <v>18</v>
      </c>
      <c r="H34" s="126">
        <v>1</v>
      </c>
      <c r="I34" s="126">
        <v>1</v>
      </c>
      <c r="J34" s="126">
        <v>1</v>
      </c>
      <c r="K34" s="126">
        <v>1</v>
      </c>
      <c r="L34" s="126">
        <v>2</v>
      </c>
      <c r="M34" s="126">
        <v>1</v>
      </c>
      <c r="N34" s="126"/>
      <c r="O34" s="126">
        <v>1</v>
      </c>
      <c r="P34" s="130">
        <v>1301783</v>
      </c>
      <c r="Q34" s="89"/>
    </row>
    <row r="35" spans="1:17" ht="21.75" customHeight="1">
      <c r="A35" s="89">
        <v>5</v>
      </c>
      <c r="B35" s="64" t="s">
        <v>173</v>
      </c>
      <c r="C35" s="125">
        <v>39</v>
      </c>
      <c r="D35" s="126">
        <v>3</v>
      </c>
      <c r="E35" s="126">
        <v>1</v>
      </c>
      <c r="F35" s="126"/>
      <c r="G35" s="126">
        <v>19</v>
      </c>
      <c r="H35" s="126">
        <v>1</v>
      </c>
      <c r="I35" s="126">
        <v>1</v>
      </c>
      <c r="J35" s="126">
        <v>1</v>
      </c>
      <c r="K35" s="126">
        <v>1</v>
      </c>
      <c r="L35" s="126">
        <v>1</v>
      </c>
      <c r="M35" s="126">
        <v>1</v>
      </c>
      <c r="N35" s="126">
        <v>0</v>
      </c>
      <c r="O35" s="126">
        <v>1</v>
      </c>
      <c r="P35" s="173">
        <v>1037640</v>
      </c>
      <c r="Q35" s="89">
        <v>6</v>
      </c>
    </row>
    <row r="36" spans="1:17" ht="21.75" customHeight="1">
      <c r="A36" s="89">
        <v>6</v>
      </c>
      <c r="B36" s="64" t="s">
        <v>158</v>
      </c>
      <c r="C36" s="128">
        <v>25</v>
      </c>
      <c r="D36" s="128">
        <v>2</v>
      </c>
      <c r="E36" s="128">
        <v>1</v>
      </c>
      <c r="F36" s="128"/>
      <c r="G36" s="128">
        <v>19</v>
      </c>
      <c r="H36" s="128">
        <v>2</v>
      </c>
      <c r="I36" s="128"/>
      <c r="J36" s="128"/>
      <c r="K36" s="128"/>
      <c r="L36" s="128"/>
      <c r="M36" s="128">
        <v>1</v>
      </c>
      <c r="N36" s="128"/>
      <c r="O36" s="128"/>
      <c r="P36" s="134">
        <f>22*0.3*1210*12</f>
        <v>95832</v>
      </c>
      <c r="Q36" s="135">
        <v>3</v>
      </c>
    </row>
    <row r="37" spans="1:17" ht="21.75" customHeight="1">
      <c r="A37" s="89">
        <v>7</v>
      </c>
      <c r="B37" s="64" t="s">
        <v>157</v>
      </c>
      <c r="C37" s="128">
        <v>22</v>
      </c>
      <c r="D37" s="128">
        <v>2</v>
      </c>
      <c r="E37" s="128">
        <v>1</v>
      </c>
      <c r="F37" s="128"/>
      <c r="G37" s="128">
        <v>18</v>
      </c>
      <c r="H37" s="128">
        <v>1</v>
      </c>
      <c r="I37" s="128">
        <v>1</v>
      </c>
      <c r="J37" s="128"/>
      <c r="K37" s="128"/>
      <c r="L37" s="128">
        <v>1</v>
      </c>
      <c r="M37" s="128">
        <v>1</v>
      </c>
      <c r="N37" s="128"/>
      <c r="O37" s="128"/>
      <c r="P37" s="131">
        <f>22*1210*0.3*12</f>
        <v>95832</v>
      </c>
      <c r="Q37" s="128"/>
    </row>
    <row r="38" spans="1:17" ht="21.75" customHeight="1">
      <c r="A38" s="89">
        <v>8</v>
      </c>
      <c r="B38" s="64" t="s">
        <v>176</v>
      </c>
      <c r="C38" s="125">
        <v>32</v>
      </c>
      <c r="D38" s="126">
        <v>2</v>
      </c>
      <c r="E38" s="126">
        <v>1</v>
      </c>
      <c r="F38" s="126">
        <v>0</v>
      </c>
      <c r="G38" s="126">
        <v>24</v>
      </c>
      <c r="H38" s="126">
        <v>1</v>
      </c>
      <c r="I38" s="126">
        <v>1</v>
      </c>
      <c r="J38" s="126">
        <v>0</v>
      </c>
      <c r="K38" s="126">
        <v>1</v>
      </c>
      <c r="L38" s="126">
        <v>1</v>
      </c>
      <c r="M38" s="126">
        <v>1</v>
      </c>
      <c r="N38" s="126">
        <v>0</v>
      </c>
      <c r="O38" s="126">
        <v>0</v>
      </c>
      <c r="P38" s="127">
        <v>146728</v>
      </c>
      <c r="Q38" s="126">
        <v>1</v>
      </c>
    </row>
    <row r="39" spans="1:17" ht="21.75" customHeight="1">
      <c r="A39" s="89">
        <v>9</v>
      </c>
      <c r="B39" s="64" t="s">
        <v>177</v>
      </c>
      <c r="C39" s="125">
        <v>38</v>
      </c>
      <c r="D39" s="126">
        <v>3</v>
      </c>
      <c r="E39" s="126">
        <v>1</v>
      </c>
      <c r="F39" s="126">
        <v>19</v>
      </c>
      <c r="G39" s="126">
        <v>10</v>
      </c>
      <c r="H39" s="126"/>
      <c r="I39" s="126">
        <v>1</v>
      </c>
      <c r="J39" s="126">
        <v>1</v>
      </c>
      <c r="K39" s="126">
        <v>1</v>
      </c>
      <c r="L39" s="126">
        <v>1</v>
      </c>
      <c r="M39" s="126">
        <v>1</v>
      </c>
      <c r="N39" s="126"/>
      <c r="O39" s="126"/>
      <c r="P39" s="127">
        <v>174240</v>
      </c>
      <c r="Q39" s="126">
        <v>0</v>
      </c>
    </row>
    <row r="40" spans="1:17" ht="21.75" customHeight="1">
      <c r="A40" s="89">
        <v>10</v>
      </c>
      <c r="B40" s="64" t="s">
        <v>178</v>
      </c>
      <c r="C40" s="125">
        <v>39</v>
      </c>
      <c r="D40" s="126">
        <v>3</v>
      </c>
      <c r="E40" s="126">
        <v>1</v>
      </c>
      <c r="F40" s="126">
        <v>22</v>
      </c>
      <c r="G40" s="126">
        <v>10</v>
      </c>
      <c r="H40" s="126">
        <v>1</v>
      </c>
      <c r="I40" s="126"/>
      <c r="J40" s="126"/>
      <c r="K40" s="126">
        <v>1</v>
      </c>
      <c r="L40" s="126">
        <v>1</v>
      </c>
      <c r="M40" s="126"/>
      <c r="N40" s="126"/>
      <c r="O40" s="126"/>
      <c r="P40" s="127">
        <v>168480</v>
      </c>
      <c r="Q40" s="126"/>
    </row>
    <row r="41" spans="1:17" ht="21.75" customHeight="1">
      <c r="A41" s="89">
        <v>11</v>
      </c>
      <c r="B41" s="64" t="s">
        <v>179</v>
      </c>
      <c r="C41" s="125">
        <v>51</v>
      </c>
      <c r="D41" s="126">
        <v>3</v>
      </c>
      <c r="E41" s="126">
        <v>1</v>
      </c>
      <c r="F41" s="126">
        <v>27</v>
      </c>
      <c r="G41" s="126">
        <v>15</v>
      </c>
      <c r="H41" s="126">
        <v>1</v>
      </c>
      <c r="I41" s="126">
        <v>1</v>
      </c>
      <c r="J41" s="126"/>
      <c r="K41" s="126">
        <v>1</v>
      </c>
      <c r="L41" s="126">
        <v>1</v>
      </c>
      <c r="M41" s="126">
        <v>1</v>
      </c>
      <c r="N41" s="126"/>
      <c r="O41" s="126"/>
      <c r="P41" s="127">
        <v>200376</v>
      </c>
      <c r="Q41" s="126"/>
    </row>
    <row r="42" spans="1:17" ht="21.75" customHeight="1">
      <c r="A42" s="89"/>
      <c r="B42" s="119" t="s">
        <v>112</v>
      </c>
      <c r="C42" s="129">
        <f aca="true" t="shared" si="2" ref="C42:Q42">SUM(C31:C41)</f>
        <v>363</v>
      </c>
      <c r="D42" s="129">
        <f t="shared" si="2"/>
        <v>30</v>
      </c>
      <c r="E42" s="129">
        <f t="shared" si="2"/>
        <v>9</v>
      </c>
      <c r="F42" s="129">
        <f t="shared" si="2"/>
        <v>68</v>
      </c>
      <c r="G42" s="129">
        <f t="shared" si="2"/>
        <v>187</v>
      </c>
      <c r="H42" s="129">
        <f t="shared" si="2"/>
        <v>10</v>
      </c>
      <c r="I42" s="129">
        <f t="shared" si="2"/>
        <v>8</v>
      </c>
      <c r="J42" s="129">
        <f t="shared" si="2"/>
        <v>6</v>
      </c>
      <c r="K42" s="129">
        <f t="shared" si="2"/>
        <v>9</v>
      </c>
      <c r="L42" s="129">
        <f t="shared" si="2"/>
        <v>14</v>
      </c>
      <c r="M42" s="129">
        <f t="shared" si="2"/>
        <v>10</v>
      </c>
      <c r="N42" s="129">
        <f t="shared" si="2"/>
        <v>0</v>
      </c>
      <c r="O42" s="129">
        <f t="shared" si="2"/>
        <v>7</v>
      </c>
      <c r="P42" s="132">
        <f t="shared" si="2"/>
        <v>6535803.1</v>
      </c>
      <c r="Q42" s="129">
        <f t="shared" si="2"/>
        <v>26</v>
      </c>
    </row>
  </sheetData>
  <sheetProtection/>
  <mergeCells count="21">
    <mergeCell ref="H28:O28"/>
    <mergeCell ref="P4:P5"/>
    <mergeCell ref="G4:G5"/>
    <mergeCell ref="G28:G29"/>
    <mergeCell ref="A1:P1"/>
    <mergeCell ref="B4:B5"/>
    <mergeCell ref="C4:C5"/>
    <mergeCell ref="E4:E5"/>
    <mergeCell ref="F4:F5"/>
    <mergeCell ref="D4:D5"/>
    <mergeCell ref="H4:O4"/>
    <mergeCell ref="A28:A29"/>
    <mergeCell ref="B28:B29"/>
    <mergeCell ref="C28:C29"/>
    <mergeCell ref="D28:D29"/>
    <mergeCell ref="A4:A5"/>
    <mergeCell ref="Q4:Q5"/>
    <mergeCell ref="P28:P29"/>
    <mergeCell ref="Q28:Q29"/>
    <mergeCell ref="E28:E29"/>
    <mergeCell ref="F28:F29"/>
  </mergeCells>
  <printOptions horizontalCentered="1"/>
  <pageMargins left="0.5" right="0.5" top="0.75" bottom="0.75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45">
      <selection activeCell="B105" sqref="B105"/>
    </sheetView>
  </sheetViews>
  <sheetFormatPr defaultColWidth="9.140625" defaultRowHeight="12.75"/>
  <cols>
    <col min="1" max="1" width="5.8515625" style="15" customWidth="1"/>
    <col min="2" max="2" width="27.00390625" style="15" customWidth="1"/>
    <col min="3" max="3" width="9.140625" style="15" customWidth="1"/>
    <col min="4" max="4" width="6.8515625" style="15" customWidth="1"/>
    <col min="5" max="5" width="6.28125" style="15" customWidth="1"/>
    <col min="6" max="6" width="7.421875" style="15" customWidth="1"/>
    <col min="7" max="7" width="7.28125" style="15" customWidth="1"/>
    <col min="8" max="8" width="5.28125" style="15" customWidth="1"/>
    <col min="9" max="9" width="7.7109375" style="15" customWidth="1"/>
    <col min="10" max="10" width="6.7109375" style="15" customWidth="1"/>
    <col min="11" max="11" width="5.8515625" style="15" customWidth="1"/>
    <col min="12" max="12" width="6.57421875" style="15" customWidth="1"/>
    <col min="13" max="13" width="5.7109375" style="15" customWidth="1"/>
    <col min="14" max="14" width="7.28125" style="15" customWidth="1"/>
    <col min="15" max="15" width="5.7109375" style="15" customWidth="1"/>
    <col min="16" max="16" width="6.140625" style="15" customWidth="1"/>
    <col min="17" max="17" width="5.8515625" style="15" customWidth="1"/>
    <col min="18" max="18" width="7.421875" style="15" customWidth="1"/>
    <col min="19" max="19" width="7.140625" style="15" customWidth="1"/>
    <col min="20" max="16384" width="9.140625" style="15" customWidth="1"/>
  </cols>
  <sheetData>
    <row r="1" spans="1:16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0.25" customHeight="1">
      <c r="A2" s="14" t="s">
        <v>211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9" ht="18.75" customHeight="1">
      <c r="A3" s="226" t="s">
        <v>10</v>
      </c>
      <c r="B3" s="226" t="s">
        <v>0</v>
      </c>
      <c r="C3" s="226" t="s">
        <v>24</v>
      </c>
      <c r="D3" s="226" t="s">
        <v>27</v>
      </c>
      <c r="E3" s="226" t="s">
        <v>26</v>
      </c>
      <c r="F3" s="226" t="s">
        <v>28</v>
      </c>
      <c r="G3" s="226" t="s">
        <v>150</v>
      </c>
      <c r="H3" s="226" t="s">
        <v>38</v>
      </c>
      <c r="I3" s="226"/>
      <c r="J3" s="226"/>
      <c r="K3" s="226"/>
      <c r="L3" s="226"/>
      <c r="M3" s="226"/>
      <c r="N3" s="226"/>
      <c r="O3" s="226"/>
      <c r="P3" s="226" t="s">
        <v>212</v>
      </c>
      <c r="Q3" s="226" t="s">
        <v>213</v>
      </c>
      <c r="R3" s="226" t="s">
        <v>214</v>
      </c>
      <c r="S3" s="226" t="s">
        <v>215</v>
      </c>
    </row>
    <row r="4" spans="1:19" ht="69.75" customHeight="1">
      <c r="A4" s="226"/>
      <c r="B4" s="226"/>
      <c r="C4" s="226"/>
      <c r="D4" s="226" t="s">
        <v>25</v>
      </c>
      <c r="E4" s="226"/>
      <c r="F4" s="226"/>
      <c r="G4" s="226"/>
      <c r="H4" s="16" t="s">
        <v>30</v>
      </c>
      <c r="I4" s="16" t="s">
        <v>31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36</v>
      </c>
      <c r="O4" s="16" t="s">
        <v>37</v>
      </c>
      <c r="P4" s="226"/>
      <c r="Q4" s="226"/>
      <c r="R4" s="226"/>
      <c r="S4" s="226"/>
    </row>
    <row r="5" spans="1:19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63">
        <v>17</v>
      </c>
      <c r="R5" s="13">
        <v>18</v>
      </c>
      <c r="S5" s="63">
        <v>19</v>
      </c>
    </row>
    <row r="6" spans="1:19" ht="21.75" customHeight="1">
      <c r="A6" s="120" t="s">
        <v>40</v>
      </c>
      <c r="B6" s="64" t="s">
        <v>149</v>
      </c>
      <c r="C6" s="126">
        <f aca="true" t="shared" si="0" ref="C6:C16">SUM(D6:O6)</f>
        <v>32</v>
      </c>
      <c r="D6" s="126">
        <v>3</v>
      </c>
      <c r="E6" s="126"/>
      <c r="F6" s="126"/>
      <c r="G6" s="126">
        <v>20</v>
      </c>
      <c r="H6" s="126">
        <v>1</v>
      </c>
      <c r="I6" s="126">
        <v>1</v>
      </c>
      <c r="J6" s="126">
        <v>1</v>
      </c>
      <c r="K6" s="126">
        <v>1</v>
      </c>
      <c r="L6" s="126">
        <v>2</v>
      </c>
      <c r="M6" s="126">
        <v>1</v>
      </c>
      <c r="N6" s="126"/>
      <c r="O6" s="126">
        <v>2</v>
      </c>
      <c r="P6" s="130"/>
      <c r="Q6" s="89"/>
      <c r="R6" s="130">
        <v>305</v>
      </c>
      <c r="S6" s="126">
        <v>9</v>
      </c>
    </row>
    <row r="7" spans="1:19" ht="21.75" customHeight="1">
      <c r="A7" s="42" t="s">
        <v>193</v>
      </c>
      <c r="B7" s="10" t="s">
        <v>131</v>
      </c>
      <c r="C7" s="126">
        <f t="shared" si="0"/>
        <v>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30"/>
      <c r="Q7" s="126"/>
      <c r="R7" s="130"/>
      <c r="S7" s="126"/>
    </row>
    <row r="8" spans="1:19" ht="21.75" customHeight="1">
      <c r="A8" s="43">
        <v>1</v>
      </c>
      <c r="B8" s="64" t="s">
        <v>138</v>
      </c>
      <c r="C8" s="126">
        <f t="shared" si="0"/>
        <v>27</v>
      </c>
      <c r="D8" s="126">
        <v>3</v>
      </c>
      <c r="E8" s="126">
        <v>1</v>
      </c>
      <c r="F8" s="126"/>
      <c r="G8" s="126">
        <v>17</v>
      </c>
      <c r="H8" s="126">
        <v>1</v>
      </c>
      <c r="I8" s="126"/>
      <c r="J8" s="126"/>
      <c r="K8" s="126">
        <v>1</v>
      </c>
      <c r="L8" s="126">
        <v>2</v>
      </c>
      <c r="M8" s="126">
        <v>1</v>
      </c>
      <c r="N8" s="126"/>
      <c r="O8" s="126">
        <v>1</v>
      </c>
      <c r="P8" s="127"/>
      <c r="Q8" s="126"/>
      <c r="R8" s="127">
        <v>181</v>
      </c>
      <c r="S8" s="89">
        <v>8</v>
      </c>
    </row>
    <row r="9" spans="1:19" ht="21.75" customHeight="1">
      <c r="A9" s="43">
        <v>2</v>
      </c>
      <c r="B9" s="64" t="s">
        <v>139</v>
      </c>
      <c r="C9" s="126">
        <f t="shared" si="0"/>
        <v>21</v>
      </c>
      <c r="D9" s="128">
        <v>3</v>
      </c>
      <c r="E9" s="128"/>
      <c r="F9" s="128">
        <v>17</v>
      </c>
      <c r="G9" s="128"/>
      <c r="H9" s="128">
        <v>0</v>
      </c>
      <c r="I9" s="128">
        <v>0</v>
      </c>
      <c r="J9" s="128">
        <v>0</v>
      </c>
      <c r="K9" s="128">
        <v>1</v>
      </c>
      <c r="L9" s="128">
        <v>0</v>
      </c>
      <c r="M9" s="128">
        <v>0</v>
      </c>
      <c r="N9" s="128">
        <v>0</v>
      </c>
      <c r="O9" s="128">
        <v>0</v>
      </c>
      <c r="P9" s="131">
        <v>163</v>
      </c>
      <c r="Q9" s="128">
        <v>13</v>
      </c>
      <c r="R9" s="127"/>
      <c r="S9" s="126"/>
    </row>
    <row r="10" spans="1:19" ht="21.75" customHeight="1">
      <c r="A10" s="29">
        <v>3</v>
      </c>
      <c r="B10" s="64" t="s">
        <v>140</v>
      </c>
      <c r="C10" s="126">
        <f t="shared" si="0"/>
        <v>14</v>
      </c>
      <c r="D10" s="128">
        <v>2</v>
      </c>
      <c r="E10" s="128"/>
      <c r="F10" s="128">
        <v>11</v>
      </c>
      <c r="G10" s="128"/>
      <c r="H10" s="128">
        <v>0</v>
      </c>
      <c r="I10" s="128">
        <v>0</v>
      </c>
      <c r="J10" s="128">
        <v>0</v>
      </c>
      <c r="K10" s="128">
        <v>1</v>
      </c>
      <c r="L10" s="128">
        <v>0</v>
      </c>
      <c r="M10" s="128">
        <v>0</v>
      </c>
      <c r="N10" s="128">
        <v>0</v>
      </c>
      <c r="O10" s="128">
        <v>0</v>
      </c>
      <c r="P10" s="206">
        <v>82</v>
      </c>
      <c r="Q10" s="128">
        <v>7</v>
      </c>
      <c r="R10" s="130"/>
      <c r="S10" s="126"/>
    </row>
    <row r="11" spans="1:19" ht="21.75" customHeight="1">
      <c r="A11" s="29">
        <v>4</v>
      </c>
      <c r="B11" s="64" t="s">
        <v>141</v>
      </c>
      <c r="C11" s="126">
        <f t="shared" si="0"/>
        <v>19</v>
      </c>
      <c r="D11" s="128">
        <v>2</v>
      </c>
      <c r="E11" s="128"/>
      <c r="F11" s="128">
        <v>15</v>
      </c>
      <c r="G11" s="128"/>
      <c r="H11" s="128">
        <v>0</v>
      </c>
      <c r="I11" s="128">
        <v>1</v>
      </c>
      <c r="J11" s="128">
        <v>0</v>
      </c>
      <c r="K11" s="128">
        <v>1</v>
      </c>
      <c r="L11" s="128">
        <v>0</v>
      </c>
      <c r="M11" s="128">
        <v>0</v>
      </c>
      <c r="N11" s="128">
        <v>0</v>
      </c>
      <c r="O11" s="128">
        <v>0</v>
      </c>
      <c r="P11" s="205">
        <v>116</v>
      </c>
      <c r="Q11" s="128">
        <v>9</v>
      </c>
      <c r="R11" s="173"/>
      <c r="S11" s="126"/>
    </row>
    <row r="12" spans="1:19" ht="21.75" customHeight="1">
      <c r="A12" s="82" t="s">
        <v>194</v>
      </c>
      <c r="B12" s="10" t="s">
        <v>148</v>
      </c>
      <c r="C12" s="126">
        <f t="shared" si="0"/>
        <v>0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30"/>
      <c r="Q12" s="126"/>
      <c r="R12" s="130"/>
      <c r="S12" s="126"/>
    </row>
    <row r="13" spans="1:19" ht="21.75" customHeight="1">
      <c r="A13" s="43">
        <v>1</v>
      </c>
      <c r="B13" s="64" t="s">
        <v>142</v>
      </c>
      <c r="C13" s="126">
        <f t="shared" si="0"/>
        <v>25</v>
      </c>
      <c r="D13" s="126">
        <v>3</v>
      </c>
      <c r="E13" s="126">
        <v>1</v>
      </c>
      <c r="F13" s="126"/>
      <c r="G13" s="126">
        <v>14</v>
      </c>
      <c r="H13" s="126">
        <v>1</v>
      </c>
      <c r="I13" s="126">
        <v>1</v>
      </c>
      <c r="J13" s="126">
        <v>1</v>
      </c>
      <c r="K13" s="126">
        <v>1</v>
      </c>
      <c r="L13" s="126">
        <v>1</v>
      </c>
      <c r="M13" s="126">
        <v>1</v>
      </c>
      <c r="N13" s="126"/>
      <c r="O13" s="126">
        <v>1</v>
      </c>
      <c r="P13" s="127"/>
      <c r="Q13" s="126"/>
      <c r="R13" s="127">
        <v>142</v>
      </c>
      <c r="S13" s="89">
        <v>6</v>
      </c>
    </row>
    <row r="14" spans="1:19" ht="21.75" customHeight="1">
      <c r="A14" s="11">
        <v>2</v>
      </c>
      <c r="B14" s="64" t="s">
        <v>144</v>
      </c>
      <c r="C14" s="126">
        <f t="shared" si="0"/>
        <v>15</v>
      </c>
      <c r="D14" s="193">
        <v>2</v>
      </c>
      <c r="E14" s="193"/>
      <c r="F14" s="193">
        <v>11</v>
      </c>
      <c r="G14" s="193"/>
      <c r="H14" s="193">
        <v>1</v>
      </c>
      <c r="I14" s="193"/>
      <c r="J14" s="193"/>
      <c r="K14" s="193">
        <v>1</v>
      </c>
      <c r="L14" s="193"/>
      <c r="M14" s="193"/>
      <c r="N14" s="193"/>
      <c r="O14" s="193"/>
      <c r="P14" s="194">
        <v>86</v>
      </c>
      <c r="Q14" s="193">
        <v>6</v>
      </c>
      <c r="R14" s="194"/>
      <c r="S14" s="193"/>
    </row>
    <row r="15" spans="1:19" ht="21.75" customHeight="1">
      <c r="A15" s="30">
        <v>3</v>
      </c>
      <c r="B15" s="64" t="s">
        <v>147</v>
      </c>
      <c r="C15" s="126">
        <f t="shared" si="0"/>
        <v>31</v>
      </c>
      <c r="D15" s="193">
        <v>3</v>
      </c>
      <c r="E15" s="193">
        <v>1</v>
      </c>
      <c r="F15" s="193">
        <v>17</v>
      </c>
      <c r="G15" s="193">
        <v>7</v>
      </c>
      <c r="H15" s="193">
        <v>1</v>
      </c>
      <c r="I15" s="193"/>
      <c r="J15" s="193"/>
      <c r="K15" s="193">
        <v>1</v>
      </c>
      <c r="L15" s="193">
        <v>1</v>
      </c>
      <c r="M15" s="193"/>
      <c r="N15" s="193"/>
      <c r="O15" s="193"/>
      <c r="P15" s="194">
        <v>176</v>
      </c>
      <c r="Q15" s="193">
        <v>13</v>
      </c>
      <c r="R15" s="194">
        <v>49</v>
      </c>
      <c r="S15" s="193">
        <v>3</v>
      </c>
    </row>
    <row r="16" spans="1:19" ht="21.75" customHeight="1">
      <c r="A16" s="82" t="s">
        <v>195</v>
      </c>
      <c r="B16" s="10" t="s">
        <v>152</v>
      </c>
      <c r="C16" s="126">
        <f t="shared" si="0"/>
        <v>0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30"/>
      <c r="Q16" s="126"/>
      <c r="R16" s="130"/>
      <c r="S16" s="126"/>
    </row>
    <row r="17" spans="1:19" ht="21.75" customHeight="1">
      <c r="A17" s="97">
        <v>1</v>
      </c>
      <c r="B17" s="98" t="s">
        <v>163</v>
      </c>
      <c r="C17" s="126">
        <f aca="true" t="shared" si="1" ref="C17:C25">SUM(D17:O17)</f>
        <v>28</v>
      </c>
      <c r="D17" s="126">
        <v>3</v>
      </c>
      <c r="E17" s="126">
        <v>1</v>
      </c>
      <c r="F17" s="126"/>
      <c r="G17" s="126">
        <v>18</v>
      </c>
      <c r="H17" s="126">
        <v>1</v>
      </c>
      <c r="I17" s="126">
        <v>1</v>
      </c>
      <c r="J17" s="126">
        <v>1</v>
      </c>
      <c r="K17" s="126">
        <v>1</v>
      </c>
      <c r="L17" s="126">
        <v>1</v>
      </c>
      <c r="M17" s="126">
        <v>1</v>
      </c>
      <c r="N17" s="126"/>
      <c r="O17" s="126"/>
      <c r="P17" s="127"/>
      <c r="Q17" s="126"/>
      <c r="R17" s="130">
        <v>280</v>
      </c>
      <c r="S17" s="89">
        <v>8</v>
      </c>
    </row>
    <row r="18" spans="1:19" ht="21.75" customHeight="1">
      <c r="A18" s="97">
        <v>2</v>
      </c>
      <c r="B18" s="93" t="s">
        <v>158</v>
      </c>
      <c r="C18" s="126">
        <f t="shared" si="1"/>
        <v>24</v>
      </c>
      <c r="D18" s="193">
        <v>2</v>
      </c>
      <c r="E18" s="193">
        <v>1</v>
      </c>
      <c r="F18" s="193"/>
      <c r="G18" s="193">
        <v>18</v>
      </c>
      <c r="H18" s="193">
        <v>1</v>
      </c>
      <c r="I18" s="193">
        <v>1</v>
      </c>
      <c r="J18" s="193"/>
      <c r="K18" s="193"/>
      <c r="L18" s="193"/>
      <c r="M18" s="193">
        <v>1</v>
      </c>
      <c r="N18" s="193"/>
      <c r="O18" s="193"/>
      <c r="P18" s="194"/>
      <c r="Q18" s="193"/>
      <c r="R18" s="194">
        <v>348</v>
      </c>
      <c r="S18" s="193">
        <v>10</v>
      </c>
    </row>
    <row r="19" spans="1:19" ht="21.75" customHeight="1">
      <c r="A19" s="97">
        <v>3</v>
      </c>
      <c r="B19" s="93" t="s">
        <v>157</v>
      </c>
      <c r="C19" s="126">
        <f t="shared" si="1"/>
        <v>27</v>
      </c>
      <c r="D19" s="193">
        <v>2</v>
      </c>
      <c r="E19" s="193">
        <v>1</v>
      </c>
      <c r="F19" s="193"/>
      <c r="G19" s="193">
        <v>20</v>
      </c>
      <c r="H19" s="193">
        <v>1</v>
      </c>
      <c r="I19" s="193">
        <v>1</v>
      </c>
      <c r="J19" s="193"/>
      <c r="K19" s="193"/>
      <c r="L19" s="193">
        <v>1</v>
      </c>
      <c r="M19" s="193">
        <v>1</v>
      </c>
      <c r="N19" s="193"/>
      <c r="O19" s="193"/>
      <c r="P19" s="194"/>
      <c r="Q19" s="193"/>
      <c r="R19" s="194">
        <v>403</v>
      </c>
      <c r="S19" s="193">
        <v>11</v>
      </c>
    </row>
    <row r="20" spans="1:19" ht="21.75" customHeight="1">
      <c r="A20" s="97">
        <v>4</v>
      </c>
      <c r="B20" s="93" t="s">
        <v>216</v>
      </c>
      <c r="C20" s="126">
        <f t="shared" si="1"/>
        <v>53</v>
      </c>
      <c r="D20" s="200">
        <v>3</v>
      </c>
      <c r="E20" s="200">
        <v>1</v>
      </c>
      <c r="F20" s="200">
        <v>33</v>
      </c>
      <c r="G20" s="200">
        <v>14</v>
      </c>
      <c r="H20" s="200">
        <v>1</v>
      </c>
      <c r="I20" s="200"/>
      <c r="J20" s="200"/>
      <c r="K20" s="200"/>
      <c r="L20" s="200"/>
      <c r="M20" s="200">
        <v>1</v>
      </c>
      <c r="N20" s="200"/>
      <c r="O20" s="200"/>
      <c r="P20" s="201">
        <v>416</v>
      </c>
      <c r="Q20" s="193">
        <v>29</v>
      </c>
      <c r="R20" s="201">
        <v>319</v>
      </c>
      <c r="S20" s="193">
        <v>10</v>
      </c>
    </row>
    <row r="21" spans="1:19" ht="21.75" customHeight="1">
      <c r="A21" s="97">
        <v>5</v>
      </c>
      <c r="B21" s="93" t="s">
        <v>166</v>
      </c>
      <c r="C21" s="126">
        <f t="shared" si="1"/>
        <v>29</v>
      </c>
      <c r="D21" s="200">
        <v>3</v>
      </c>
      <c r="E21" s="200">
        <v>1</v>
      </c>
      <c r="F21" s="200">
        <v>16</v>
      </c>
      <c r="G21" s="200">
        <v>6</v>
      </c>
      <c r="H21" s="200">
        <v>1</v>
      </c>
      <c r="I21" s="200"/>
      <c r="J21" s="200"/>
      <c r="K21" s="200"/>
      <c r="L21" s="200">
        <v>1</v>
      </c>
      <c r="M21" s="200">
        <v>1</v>
      </c>
      <c r="N21" s="200"/>
      <c r="O21" s="200"/>
      <c r="P21" s="201">
        <v>210</v>
      </c>
      <c r="Q21" s="200">
        <v>18</v>
      </c>
      <c r="R21" s="201">
        <v>194</v>
      </c>
      <c r="S21" s="200">
        <v>7</v>
      </c>
    </row>
    <row r="22" spans="1:19" ht="21.75" customHeight="1">
      <c r="A22" s="97">
        <v>6</v>
      </c>
      <c r="B22" s="93" t="s">
        <v>167</v>
      </c>
      <c r="C22" s="126">
        <f t="shared" si="1"/>
        <v>41</v>
      </c>
      <c r="D22" s="193">
        <v>3</v>
      </c>
      <c r="E22" s="193">
        <v>1</v>
      </c>
      <c r="F22" s="193">
        <v>14</v>
      </c>
      <c r="G22" s="193">
        <v>19</v>
      </c>
      <c r="H22" s="193">
        <v>1</v>
      </c>
      <c r="I22" s="193">
        <v>1</v>
      </c>
      <c r="J22" s="193"/>
      <c r="K22" s="193">
        <v>1</v>
      </c>
      <c r="L22" s="193"/>
      <c r="M22" s="193">
        <v>1</v>
      </c>
      <c r="N22" s="193"/>
      <c r="O22" s="193"/>
      <c r="P22" s="194">
        <v>311</v>
      </c>
      <c r="Q22" s="193">
        <v>19</v>
      </c>
      <c r="R22" s="194">
        <v>238</v>
      </c>
      <c r="S22" s="193">
        <v>11</v>
      </c>
    </row>
    <row r="23" spans="1:19" ht="21.75" customHeight="1">
      <c r="A23" s="97">
        <v>7</v>
      </c>
      <c r="B23" s="93" t="s">
        <v>168</v>
      </c>
      <c r="C23" s="126">
        <f t="shared" si="1"/>
        <v>40</v>
      </c>
      <c r="D23" s="193">
        <v>2</v>
      </c>
      <c r="E23" s="193">
        <v>1</v>
      </c>
      <c r="F23" s="193"/>
      <c r="G23" s="193">
        <v>33</v>
      </c>
      <c r="H23" s="193">
        <v>1</v>
      </c>
      <c r="I23" s="193">
        <v>1</v>
      </c>
      <c r="J23" s="193"/>
      <c r="K23" s="193">
        <v>1</v>
      </c>
      <c r="L23" s="193">
        <v>1</v>
      </c>
      <c r="M23" s="193"/>
      <c r="N23" s="193"/>
      <c r="O23" s="193"/>
      <c r="P23" s="194"/>
      <c r="Q23" s="193"/>
      <c r="R23" s="194">
        <v>562</v>
      </c>
      <c r="S23" s="193">
        <v>17</v>
      </c>
    </row>
    <row r="24" spans="1:19" ht="21.75" customHeight="1">
      <c r="A24" s="97">
        <v>8</v>
      </c>
      <c r="B24" s="93" t="s">
        <v>169</v>
      </c>
      <c r="C24" s="126">
        <f t="shared" si="1"/>
        <v>25</v>
      </c>
      <c r="D24" s="193">
        <v>2</v>
      </c>
      <c r="E24" s="193">
        <v>1</v>
      </c>
      <c r="F24" s="193"/>
      <c r="G24" s="193">
        <v>19</v>
      </c>
      <c r="H24" s="193">
        <v>1</v>
      </c>
      <c r="I24" s="193"/>
      <c r="J24" s="193"/>
      <c r="K24" s="193">
        <v>1</v>
      </c>
      <c r="L24" s="193">
        <v>1</v>
      </c>
      <c r="M24" s="193"/>
      <c r="N24" s="193"/>
      <c r="O24" s="193"/>
      <c r="P24" s="194"/>
      <c r="Q24" s="193"/>
      <c r="R24" s="194">
        <v>317</v>
      </c>
      <c r="S24" s="193">
        <v>10</v>
      </c>
    </row>
    <row r="25" spans="1:19" ht="21.75" customHeight="1">
      <c r="A25" s="97">
        <v>9</v>
      </c>
      <c r="B25" s="93" t="s">
        <v>170</v>
      </c>
      <c r="C25" s="126">
        <f t="shared" si="1"/>
        <v>30</v>
      </c>
      <c r="D25" s="193">
        <v>3</v>
      </c>
      <c r="E25" s="193">
        <v>1</v>
      </c>
      <c r="F25" s="193">
        <v>16</v>
      </c>
      <c r="G25" s="193">
        <v>8</v>
      </c>
      <c r="H25" s="193">
        <v>1</v>
      </c>
      <c r="I25" s="193">
        <v>1</v>
      </c>
      <c r="J25" s="193"/>
      <c r="K25" s="193"/>
      <c r="L25" s="193"/>
      <c r="M25" s="193"/>
      <c r="N25" s="193"/>
      <c r="O25" s="193"/>
      <c r="P25" s="194">
        <v>150</v>
      </c>
      <c r="Q25" s="193">
        <v>11</v>
      </c>
      <c r="R25" s="194">
        <v>109</v>
      </c>
      <c r="S25" s="193">
        <v>4</v>
      </c>
    </row>
    <row r="26" spans="1:19" ht="21.75" customHeight="1">
      <c r="A26" s="82" t="s">
        <v>208</v>
      </c>
      <c r="B26" s="10" t="s">
        <v>180</v>
      </c>
      <c r="C26" s="126">
        <f>SUM(D26:O26)</f>
        <v>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30"/>
      <c r="Q26" s="126"/>
      <c r="R26" s="130"/>
      <c r="S26" s="126"/>
    </row>
    <row r="27" spans="1:19" ht="21.75" customHeight="1">
      <c r="A27" s="97">
        <v>1</v>
      </c>
      <c r="B27" s="93" t="s">
        <v>173</v>
      </c>
      <c r="C27" s="126">
        <f aca="true" t="shared" si="2" ref="C27:C35">SUM(D27:O27)</f>
        <v>29</v>
      </c>
      <c r="D27" s="126">
        <v>3</v>
      </c>
      <c r="E27" s="126">
        <v>1</v>
      </c>
      <c r="F27" s="126"/>
      <c r="G27" s="126">
        <v>18</v>
      </c>
      <c r="H27" s="126">
        <v>1</v>
      </c>
      <c r="I27" s="126">
        <v>1</v>
      </c>
      <c r="J27" s="126">
        <v>1</v>
      </c>
      <c r="K27" s="126">
        <v>1</v>
      </c>
      <c r="L27" s="126">
        <v>1</v>
      </c>
      <c r="M27" s="126">
        <v>1</v>
      </c>
      <c r="N27" s="126"/>
      <c r="O27" s="126">
        <v>1</v>
      </c>
      <c r="P27" s="127"/>
      <c r="Q27" s="126"/>
      <c r="R27" s="173">
        <v>273</v>
      </c>
      <c r="S27" s="89">
        <v>8</v>
      </c>
    </row>
    <row r="28" spans="1:19" ht="21.75" customHeight="1">
      <c r="A28" s="97">
        <v>2</v>
      </c>
      <c r="B28" s="102" t="s">
        <v>217</v>
      </c>
      <c r="C28" s="126">
        <f t="shared" si="2"/>
        <v>31</v>
      </c>
      <c r="D28" s="202">
        <v>2</v>
      </c>
      <c r="E28" s="202">
        <v>1</v>
      </c>
      <c r="F28" s="202">
        <v>0</v>
      </c>
      <c r="G28" s="202">
        <v>23</v>
      </c>
      <c r="H28" s="202">
        <v>1</v>
      </c>
      <c r="I28" s="202">
        <v>1</v>
      </c>
      <c r="J28" s="202">
        <v>0</v>
      </c>
      <c r="K28" s="202">
        <v>1</v>
      </c>
      <c r="L28" s="202">
        <v>1</v>
      </c>
      <c r="M28" s="202">
        <v>1</v>
      </c>
      <c r="N28" s="202">
        <v>0</v>
      </c>
      <c r="O28" s="202">
        <v>0</v>
      </c>
      <c r="P28" s="203">
        <v>0</v>
      </c>
      <c r="Q28" s="202">
        <v>0</v>
      </c>
      <c r="R28" s="203">
        <v>391</v>
      </c>
      <c r="S28" s="202">
        <v>12</v>
      </c>
    </row>
    <row r="29" spans="1:19" ht="21.75" customHeight="1">
      <c r="A29" s="97">
        <v>3</v>
      </c>
      <c r="B29" s="102" t="s">
        <v>218</v>
      </c>
      <c r="C29" s="126">
        <f t="shared" si="2"/>
        <v>37</v>
      </c>
      <c r="D29" s="202">
        <v>3</v>
      </c>
      <c r="E29" s="202">
        <v>1</v>
      </c>
      <c r="F29" s="202">
        <v>18</v>
      </c>
      <c r="G29" s="202">
        <v>11</v>
      </c>
      <c r="H29" s="202"/>
      <c r="I29" s="202">
        <v>1</v>
      </c>
      <c r="J29" s="202"/>
      <c r="K29" s="202">
        <v>1</v>
      </c>
      <c r="L29" s="202">
        <v>1</v>
      </c>
      <c r="M29" s="202">
        <v>1</v>
      </c>
      <c r="N29" s="202"/>
      <c r="O29" s="202"/>
      <c r="P29" s="173">
        <v>226</v>
      </c>
      <c r="Q29" s="202">
        <v>23</v>
      </c>
      <c r="R29" s="173">
        <v>169</v>
      </c>
      <c r="S29" s="202">
        <v>6</v>
      </c>
    </row>
    <row r="30" spans="1:19" ht="21.75" customHeight="1">
      <c r="A30" s="97">
        <v>4</v>
      </c>
      <c r="B30" s="102" t="s">
        <v>219</v>
      </c>
      <c r="C30" s="126">
        <f t="shared" si="2"/>
        <v>38</v>
      </c>
      <c r="D30" s="204">
        <v>3</v>
      </c>
      <c r="E30" s="204">
        <v>1</v>
      </c>
      <c r="F30" s="204">
        <v>21</v>
      </c>
      <c r="G30" s="204">
        <v>10</v>
      </c>
      <c r="H30" s="204">
        <v>1</v>
      </c>
      <c r="I30" s="204"/>
      <c r="J30" s="204"/>
      <c r="K30" s="204">
        <v>1</v>
      </c>
      <c r="L30" s="204">
        <v>1</v>
      </c>
      <c r="M30" s="204"/>
      <c r="N30" s="204"/>
      <c r="O30" s="204"/>
      <c r="P30" s="205">
        <v>168</v>
      </c>
      <c r="Q30" s="202">
        <v>22</v>
      </c>
      <c r="R30" s="205">
        <v>133</v>
      </c>
      <c r="S30" s="202">
        <v>4</v>
      </c>
    </row>
    <row r="31" spans="1:19" ht="21.75" customHeight="1">
      <c r="A31" s="97">
        <v>5</v>
      </c>
      <c r="B31" s="102" t="s">
        <v>220</v>
      </c>
      <c r="C31" s="126">
        <f t="shared" si="2"/>
        <v>53</v>
      </c>
      <c r="D31" s="204">
        <v>3</v>
      </c>
      <c r="E31" s="204">
        <v>1</v>
      </c>
      <c r="F31" s="204">
        <v>27</v>
      </c>
      <c r="G31" s="204">
        <v>17</v>
      </c>
      <c r="H31" s="204">
        <v>1</v>
      </c>
      <c r="I31" s="204">
        <v>1</v>
      </c>
      <c r="J31" s="204">
        <v>0</v>
      </c>
      <c r="K31" s="204">
        <v>1</v>
      </c>
      <c r="L31" s="204">
        <v>1</v>
      </c>
      <c r="M31" s="204">
        <v>1</v>
      </c>
      <c r="N31" s="204">
        <v>0</v>
      </c>
      <c r="O31" s="204">
        <v>0</v>
      </c>
      <c r="P31" s="205">
        <v>476</v>
      </c>
      <c r="Q31" s="204">
        <v>25</v>
      </c>
      <c r="R31" s="205">
        <v>267</v>
      </c>
      <c r="S31" s="204">
        <v>8</v>
      </c>
    </row>
    <row r="32" spans="1:19" ht="21.75" customHeight="1">
      <c r="A32" s="97">
        <v>6</v>
      </c>
      <c r="B32" s="102" t="s">
        <v>181</v>
      </c>
      <c r="C32" s="126">
        <f t="shared" si="2"/>
        <v>18</v>
      </c>
      <c r="D32" s="202">
        <v>2</v>
      </c>
      <c r="E32" s="202">
        <v>1</v>
      </c>
      <c r="F32" s="202"/>
      <c r="G32" s="202">
        <v>12</v>
      </c>
      <c r="H32" s="202">
        <v>1</v>
      </c>
      <c r="I32" s="202">
        <v>0</v>
      </c>
      <c r="J32" s="202">
        <v>0</v>
      </c>
      <c r="K32" s="202">
        <v>1</v>
      </c>
      <c r="L32" s="202">
        <v>1</v>
      </c>
      <c r="M32" s="202">
        <v>0</v>
      </c>
      <c r="N32" s="202">
        <v>0</v>
      </c>
      <c r="O32" s="202">
        <v>0</v>
      </c>
      <c r="P32" s="173"/>
      <c r="Q32" s="202"/>
      <c r="R32" s="173">
        <v>228</v>
      </c>
      <c r="S32" s="202">
        <v>7</v>
      </c>
    </row>
    <row r="33" spans="1:19" ht="21.75" customHeight="1">
      <c r="A33" s="97">
        <v>7</v>
      </c>
      <c r="B33" s="102" t="s">
        <v>182</v>
      </c>
      <c r="C33" s="126">
        <f t="shared" si="2"/>
        <v>50</v>
      </c>
      <c r="D33" s="202">
        <v>3</v>
      </c>
      <c r="E33" s="202">
        <v>1</v>
      </c>
      <c r="F33" s="202">
        <v>29</v>
      </c>
      <c r="G33" s="202">
        <v>15</v>
      </c>
      <c r="H33" s="202">
        <v>0</v>
      </c>
      <c r="I33" s="202">
        <v>0</v>
      </c>
      <c r="J33" s="202">
        <v>0</v>
      </c>
      <c r="K33" s="202">
        <v>1</v>
      </c>
      <c r="L33" s="202">
        <v>1</v>
      </c>
      <c r="M33" s="202">
        <v>0</v>
      </c>
      <c r="N33" s="202">
        <v>0</v>
      </c>
      <c r="O33" s="202">
        <v>0</v>
      </c>
      <c r="P33" s="173">
        <v>559</v>
      </c>
      <c r="Q33" s="202">
        <v>34</v>
      </c>
      <c r="R33" s="173">
        <v>349</v>
      </c>
      <c r="S33" s="202">
        <v>10</v>
      </c>
    </row>
    <row r="34" spans="1:19" ht="21.75" customHeight="1">
      <c r="A34" s="97">
        <v>8</v>
      </c>
      <c r="B34" s="102" t="s">
        <v>183</v>
      </c>
      <c r="C34" s="126">
        <f t="shared" si="2"/>
        <v>22</v>
      </c>
      <c r="D34" s="202">
        <v>2</v>
      </c>
      <c r="E34" s="202">
        <v>1</v>
      </c>
      <c r="F34" s="202"/>
      <c r="G34" s="202">
        <v>15</v>
      </c>
      <c r="H34" s="202">
        <v>1</v>
      </c>
      <c r="I34" s="202">
        <v>1</v>
      </c>
      <c r="J34" s="202">
        <v>0</v>
      </c>
      <c r="K34" s="202">
        <v>1</v>
      </c>
      <c r="L34" s="202">
        <v>1</v>
      </c>
      <c r="M34" s="202"/>
      <c r="N34" s="202"/>
      <c r="O34" s="202"/>
      <c r="P34" s="173"/>
      <c r="Q34" s="202"/>
      <c r="R34" s="173">
        <v>279</v>
      </c>
      <c r="S34" s="202">
        <v>8</v>
      </c>
    </row>
    <row r="35" spans="1:19" ht="21.75" customHeight="1">
      <c r="A35" s="97">
        <v>9</v>
      </c>
      <c r="B35" s="102" t="s">
        <v>221</v>
      </c>
      <c r="C35" s="126">
        <f t="shared" si="2"/>
        <v>27</v>
      </c>
      <c r="D35" s="202">
        <v>2</v>
      </c>
      <c r="E35" s="202">
        <v>1</v>
      </c>
      <c r="F35" s="202"/>
      <c r="G35" s="202">
        <v>20</v>
      </c>
      <c r="H35" s="202">
        <v>1</v>
      </c>
      <c r="I35" s="202">
        <v>1</v>
      </c>
      <c r="J35" s="202">
        <v>0</v>
      </c>
      <c r="K35" s="202">
        <v>1</v>
      </c>
      <c r="L35" s="202">
        <v>1</v>
      </c>
      <c r="M35" s="202">
        <v>0</v>
      </c>
      <c r="N35" s="202">
        <v>0</v>
      </c>
      <c r="O35" s="202">
        <v>0</v>
      </c>
      <c r="P35" s="173">
        <v>0</v>
      </c>
      <c r="Q35" s="202">
        <v>0</v>
      </c>
      <c r="R35" s="173">
        <v>412</v>
      </c>
      <c r="S35" s="202">
        <v>11</v>
      </c>
    </row>
    <row r="36" spans="1:19" ht="21.75" customHeight="1">
      <c r="A36" s="11"/>
      <c r="B36" s="124" t="s">
        <v>112</v>
      </c>
      <c r="C36" s="129">
        <f>SUM(C6:C35)</f>
        <v>786</v>
      </c>
      <c r="D36" s="129">
        <f aca="true" t="shared" si="3" ref="D36:S36">SUM(D6:D35)</f>
        <v>67</v>
      </c>
      <c r="E36" s="129">
        <f t="shared" si="3"/>
        <v>21</v>
      </c>
      <c r="F36" s="129">
        <f t="shared" si="3"/>
        <v>245</v>
      </c>
      <c r="G36" s="129">
        <f t="shared" si="3"/>
        <v>354</v>
      </c>
      <c r="H36" s="129">
        <f t="shared" si="3"/>
        <v>21</v>
      </c>
      <c r="I36" s="129">
        <f t="shared" si="3"/>
        <v>15</v>
      </c>
      <c r="J36" s="129">
        <f t="shared" si="3"/>
        <v>4</v>
      </c>
      <c r="K36" s="129">
        <f t="shared" si="3"/>
        <v>21</v>
      </c>
      <c r="L36" s="129">
        <f t="shared" si="3"/>
        <v>20</v>
      </c>
      <c r="M36" s="129">
        <f t="shared" si="3"/>
        <v>13</v>
      </c>
      <c r="N36" s="129">
        <f t="shared" si="3"/>
        <v>0</v>
      </c>
      <c r="O36" s="129">
        <f t="shared" si="3"/>
        <v>5</v>
      </c>
      <c r="P36" s="129">
        <f t="shared" si="3"/>
        <v>3139</v>
      </c>
      <c r="Q36" s="129">
        <f t="shared" si="3"/>
        <v>229</v>
      </c>
      <c r="R36" s="129">
        <f t="shared" si="3"/>
        <v>5948</v>
      </c>
      <c r="S36" s="129">
        <f t="shared" si="3"/>
        <v>188</v>
      </c>
    </row>
    <row r="57" spans="1:16" ht="20.25" customHeight="1">
      <c r="A57" s="14" t="s">
        <v>241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9" spans="1:19" ht="18.75" customHeight="1">
      <c r="A59" s="226" t="s">
        <v>10</v>
      </c>
      <c r="B59" s="226" t="s">
        <v>0</v>
      </c>
      <c r="C59" s="226" t="s">
        <v>222</v>
      </c>
      <c r="D59" s="226" t="s">
        <v>27</v>
      </c>
      <c r="E59" s="226" t="s">
        <v>26</v>
      </c>
      <c r="F59" s="226" t="s">
        <v>28</v>
      </c>
      <c r="G59" s="226" t="s">
        <v>150</v>
      </c>
      <c r="H59" s="226" t="s">
        <v>38</v>
      </c>
      <c r="I59" s="226"/>
      <c r="J59" s="226"/>
      <c r="K59" s="226"/>
      <c r="L59" s="226"/>
      <c r="M59" s="226"/>
      <c r="N59" s="226"/>
      <c r="O59" s="226"/>
      <c r="P59" s="226" t="s">
        <v>212</v>
      </c>
      <c r="Q59" s="226" t="s">
        <v>213</v>
      </c>
      <c r="R59" s="226" t="s">
        <v>214</v>
      </c>
      <c r="S59" s="226" t="s">
        <v>215</v>
      </c>
    </row>
    <row r="60" spans="1:19" ht="69.75" customHeight="1">
      <c r="A60" s="226"/>
      <c r="B60" s="226"/>
      <c r="C60" s="226"/>
      <c r="D60" s="226" t="s">
        <v>25</v>
      </c>
      <c r="E60" s="226"/>
      <c r="F60" s="226"/>
      <c r="G60" s="226"/>
      <c r="H60" s="16" t="s">
        <v>30</v>
      </c>
      <c r="I60" s="16" t="s">
        <v>31</v>
      </c>
      <c r="J60" s="16" t="s">
        <v>32</v>
      </c>
      <c r="K60" s="16" t="s">
        <v>33</v>
      </c>
      <c r="L60" s="16" t="s">
        <v>34</v>
      </c>
      <c r="M60" s="16" t="s">
        <v>35</v>
      </c>
      <c r="N60" s="16" t="s">
        <v>36</v>
      </c>
      <c r="O60" s="16" t="s">
        <v>37</v>
      </c>
      <c r="P60" s="226"/>
      <c r="Q60" s="226"/>
      <c r="R60" s="226"/>
      <c r="S60" s="226"/>
    </row>
    <row r="61" spans="1:19" ht="18.75" customHeight="1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  <c r="H61" s="13">
        <v>8</v>
      </c>
      <c r="I61" s="13">
        <v>9</v>
      </c>
      <c r="J61" s="13">
        <v>10</v>
      </c>
      <c r="K61" s="13">
        <v>11</v>
      </c>
      <c r="L61" s="13">
        <v>12</v>
      </c>
      <c r="M61" s="13">
        <v>13</v>
      </c>
      <c r="N61" s="13">
        <v>14</v>
      </c>
      <c r="O61" s="13">
        <v>15</v>
      </c>
      <c r="P61" s="13">
        <v>16</v>
      </c>
      <c r="Q61" s="63">
        <v>17</v>
      </c>
      <c r="R61" s="13">
        <v>18</v>
      </c>
      <c r="S61" s="63">
        <v>19</v>
      </c>
    </row>
    <row r="62" spans="1:19" ht="21.75" customHeight="1">
      <c r="A62" s="120" t="s">
        <v>40</v>
      </c>
      <c r="B62" s="64" t="s">
        <v>149</v>
      </c>
      <c r="C62" s="126">
        <f aca="true" t="shared" si="4" ref="C62:C72">SUM(D62:O62)</f>
        <v>35.599999999999994</v>
      </c>
      <c r="D62" s="126">
        <v>4</v>
      </c>
      <c r="E62" s="126"/>
      <c r="F62" s="126"/>
      <c r="G62" s="126">
        <f>S62*2.4</f>
        <v>21.599999999999998</v>
      </c>
      <c r="H62" s="126">
        <v>1</v>
      </c>
      <c r="I62" s="126">
        <v>2</v>
      </c>
      <c r="J62" s="126">
        <v>1</v>
      </c>
      <c r="K62" s="126">
        <v>1</v>
      </c>
      <c r="L62" s="126">
        <v>2</v>
      </c>
      <c r="M62" s="126">
        <v>1</v>
      </c>
      <c r="N62" s="126"/>
      <c r="O62" s="126">
        <v>2</v>
      </c>
      <c r="P62" s="130"/>
      <c r="Q62" s="89"/>
      <c r="R62" s="130">
        <v>305</v>
      </c>
      <c r="S62" s="126">
        <v>9</v>
      </c>
    </row>
    <row r="63" spans="1:19" ht="21.75" customHeight="1">
      <c r="A63" s="42" t="s">
        <v>193</v>
      </c>
      <c r="B63" s="10" t="s">
        <v>131</v>
      </c>
      <c r="C63" s="126">
        <f t="shared" si="4"/>
        <v>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30"/>
      <c r="Q63" s="126"/>
      <c r="R63" s="130"/>
      <c r="S63" s="126"/>
    </row>
    <row r="64" spans="1:19" ht="21.75" customHeight="1">
      <c r="A64" s="43">
        <v>1</v>
      </c>
      <c r="B64" s="64" t="s">
        <v>138</v>
      </c>
      <c r="C64" s="126">
        <f t="shared" si="4"/>
        <v>30.6</v>
      </c>
      <c r="D64" s="126">
        <v>3</v>
      </c>
      <c r="E64" s="126">
        <v>1</v>
      </c>
      <c r="F64" s="126"/>
      <c r="G64" s="126">
        <f>S64*2.2</f>
        <v>17.6</v>
      </c>
      <c r="H64" s="126">
        <v>1</v>
      </c>
      <c r="I64" s="126">
        <v>1</v>
      </c>
      <c r="J64" s="126">
        <v>1</v>
      </c>
      <c r="K64" s="126">
        <v>1</v>
      </c>
      <c r="L64" s="126">
        <v>2</v>
      </c>
      <c r="M64" s="126">
        <v>1</v>
      </c>
      <c r="N64" s="126"/>
      <c r="O64" s="126">
        <v>2</v>
      </c>
      <c r="P64" s="127"/>
      <c r="Q64" s="126"/>
      <c r="R64" s="127">
        <v>181</v>
      </c>
      <c r="S64" s="89">
        <v>8</v>
      </c>
    </row>
    <row r="65" spans="1:19" ht="21.75" customHeight="1">
      <c r="A65" s="43">
        <v>2</v>
      </c>
      <c r="B65" s="64" t="s">
        <v>139</v>
      </c>
      <c r="C65" s="126">
        <f t="shared" si="4"/>
        <v>25.5</v>
      </c>
      <c r="D65" s="126">
        <v>3</v>
      </c>
      <c r="E65" s="126">
        <v>1</v>
      </c>
      <c r="F65" s="126">
        <f>Q65*1.5</f>
        <v>16.5</v>
      </c>
      <c r="G65" s="126">
        <f>S65*2.2</f>
        <v>0</v>
      </c>
      <c r="H65" s="126">
        <v>1</v>
      </c>
      <c r="I65" s="126">
        <v>1</v>
      </c>
      <c r="J65" s="126"/>
      <c r="K65" s="126">
        <v>1</v>
      </c>
      <c r="L65" s="126">
        <v>1</v>
      </c>
      <c r="M65" s="126">
        <v>1</v>
      </c>
      <c r="N65" s="126"/>
      <c r="O65" s="126"/>
      <c r="P65" s="131">
        <v>163</v>
      </c>
      <c r="Q65" s="128">
        <v>11</v>
      </c>
      <c r="R65" s="127"/>
      <c r="S65" s="126"/>
    </row>
    <row r="66" spans="1:19" ht="21.75" customHeight="1">
      <c r="A66" s="29">
        <v>3</v>
      </c>
      <c r="B66" s="64" t="s">
        <v>140</v>
      </c>
      <c r="C66" s="126">
        <f t="shared" si="4"/>
        <v>19.5</v>
      </c>
      <c r="D66" s="126">
        <v>3</v>
      </c>
      <c r="E66" s="126">
        <v>1</v>
      </c>
      <c r="F66" s="126">
        <f>Q66*1.5</f>
        <v>10.5</v>
      </c>
      <c r="G66" s="126">
        <f>S66*2.2</f>
        <v>0</v>
      </c>
      <c r="H66" s="126">
        <v>1</v>
      </c>
      <c r="I66" s="126">
        <v>1</v>
      </c>
      <c r="J66" s="126"/>
      <c r="K66" s="126">
        <v>1</v>
      </c>
      <c r="L66" s="126">
        <v>1</v>
      </c>
      <c r="M66" s="126">
        <v>1</v>
      </c>
      <c r="N66" s="126"/>
      <c r="O66" s="126"/>
      <c r="P66" s="206">
        <v>82</v>
      </c>
      <c r="Q66" s="128">
        <v>7</v>
      </c>
      <c r="R66" s="130"/>
      <c r="S66" s="126"/>
    </row>
    <row r="67" spans="1:19" ht="21.75" customHeight="1">
      <c r="A67" s="29">
        <v>4</v>
      </c>
      <c r="B67" s="64" t="s">
        <v>141</v>
      </c>
      <c r="C67" s="126">
        <f t="shared" si="4"/>
        <v>21</v>
      </c>
      <c r="D67" s="126">
        <v>3</v>
      </c>
      <c r="E67" s="126">
        <v>1</v>
      </c>
      <c r="F67" s="126">
        <f>Q67*1.5</f>
        <v>12</v>
      </c>
      <c r="G67" s="126">
        <f>S67*2.2</f>
        <v>0</v>
      </c>
      <c r="H67" s="126">
        <v>1</v>
      </c>
      <c r="I67" s="126">
        <v>1</v>
      </c>
      <c r="J67" s="126"/>
      <c r="K67" s="126">
        <v>1</v>
      </c>
      <c r="L67" s="126">
        <v>1</v>
      </c>
      <c r="M67" s="126">
        <v>1</v>
      </c>
      <c r="N67" s="126"/>
      <c r="O67" s="126"/>
      <c r="P67" s="205">
        <v>116</v>
      </c>
      <c r="Q67" s="128">
        <v>8</v>
      </c>
      <c r="R67" s="173"/>
      <c r="S67" s="126"/>
    </row>
    <row r="68" spans="1:19" ht="21.75" customHeight="1">
      <c r="A68" s="82" t="s">
        <v>194</v>
      </c>
      <c r="B68" s="10" t="s">
        <v>148</v>
      </c>
      <c r="C68" s="126">
        <f t="shared" si="4"/>
        <v>0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30"/>
      <c r="Q68" s="126"/>
      <c r="R68" s="130"/>
      <c r="S68" s="126"/>
    </row>
    <row r="69" spans="1:19" ht="21.75" customHeight="1">
      <c r="A69" s="43">
        <v>1</v>
      </c>
      <c r="B69" s="64" t="s">
        <v>142</v>
      </c>
      <c r="C69" s="126">
        <f t="shared" si="4"/>
        <v>26.200000000000003</v>
      </c>
      <c r="D69" s="126">
        <v>3</v>
      </c>
      <c r="E69" s="126">
        <v>1</v>
      </c>
      <c r="F69" s="126"/>
      <c r="G69" s="126">
        <f>S69*2.2</f>
        <v>13.200000000000001</v>
      </c>
      <c r="H69" s="126">
        <v>1</v>
      </c>
      <c r="I69" s="126">
        <v>1</v>
      </c>
      <c r="J69" s="126">
        <v>1</v>
      </c>
      <c r="K69" s="126">
        <v>1</v>
      </c>
      <c r="L69" s="126">
        <v>2</v>
      </c>
      <c r="M69" s="126">
        <v>1</v>
      </c>
      <c r="N69" s="126"/>
      <c r="O69" s="126">
        <v>2</v>
      </c>
      <c r="P69" s="127"/>
      <c r="Q69" s="126"/>
      <c r="R69" s="127">
        <v>142</v>
      </c>
      <c r="S69" s="89">
        <v>6</v>
      </c>
    </row>
    <row r="70" spans="1:19" ht="21.75" customHeight="1">
      <c r="A70" s="11">
        <v>2</v>
      </c>
      <c r="B70" s="64" t="s">
        <v>209</v>
      </c>
      <c r="C70" s="126">
        <f t="shared" si="4"/>
        <v>18</v>
      </c>
      <c r="D70" s="126">
        <v>3</v>
      </c>
      <c r="E70" s="126">
        <v>1</v>
      </c>
      <c r="F70" s="126">
        <f>Q70*1.5</f>
        <v>9</v>
      </c>
      <c r="G70" s="126">
        <f>S70*2.2</f>
        <v>0</v>
      </c>
      <c r="H70" s="126">
        <v>1</v>
      </c>
      <c r="I70" s="126">
        <v>1</v>
      </c>
      <c r="J70" s="126"/>
      <c r="K70" s="126">
        <v>1</v>
      </c>
      <c r="L70" s="126">
        <v>1</v>
      </c>
      <c r="M70" s="126">
        <v>1</v>
      </c>
      <c r="N70" s="126"/>
      <c r="O70" s="126"/>
      <c r="P70" s="194">
        <v>86</v>
      </c>
      <c r="Q70" s="193">
        <v>6</v>
      </c>
      <c r="R70" s="194"/>
      <c r="S70" s="193"/>
    </row>
    <row r="71" spans="1:19" ht="21.75" customHeight="1">
      <c r="A71" s="30">
        <v>3</v>
      </c>
      <c r="B71" s="64" t="s">
        <v>235</v>
      </c>
      <c r="C71" s="126">
        <f t="shared" si="4"/>
        <v>30.6</v>
      </c>
      <c r="D71" s="126">
        <v>3</v>
      </c>
      <c r="E71" s="126">
        <v>1</v>
      </c>
      <c r="F71" s="126">
        <f>Q71*1.5</f>
        <v>15</v>
      </c>
      <c r="G71" s="126">
        <f>S71*2.2</f>
        <v>6.6000000000000005</v>
      </c>
      <c r="H71" s="126">
        <v>1</v>
      </c>
      <c r="I71" s="126">
        <v>1</v>
      </c>
      <c r="J71" s="126"/>
      <c r="K71" s="126">
        <v>1</v>
      </c>
      <c r="L71" s="126">
        <v>1</v>
      </c>
      <c r="M71" s="126">
        <v>1</v>
      </c>
      <c r="N71" s="126"/>
      <c r="O71" s="126"/>
      <c r="P71" s="194">
        <v>176</v>
      </c>
      <c r="Q71" s="193">
        <v>10</v>
      </c>
      <c r="R71" s="194">
        <v>49</v>
      </c>
      <c r="S71" s="193">
        <v>3</v>
      </c>
    </row>
    <row r="72" spans="1:19" ht="21.75" customHeight="1">
      <c r="A72" s="82" t="s">
        <v>195</v>
      </c>
      <c r="B72" s="10" t="s">
        <v>152</v>
      </c>
      <c r="C72" s="126">
        <f t="shared" si="4"/>
        <v>0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30"/>
      <c r="Q72" s="126"/>
      <c r="R72" s="130"/>
      <c r="S72" s="126"/>
    </row>
    <row r="73" spans="1:19" ht="21.75" customHeight="1">
      <c r="A73" s="97">
        <v>1</v>
      </c>
      <c r="B73" s="98" t="s">
        <v>163</v>
      </c>
      <c r="C73" s="126">
        <f aca="true" t="shared" si="5" ref="C73:C81">SUM(D73:O73)</f>
        <v>30.6</v>
      </c>
      <c r="D73" s="126">
        <v>3</v>
      </c>
      <c r="E73" s="126">
        <v>1</v>
      </c>
      <c r="F73" s="126"/>
      <c r="G73" s="126">
        <f>S73*2.2</f>
        <v>17.6</v>
      </c>
      <c r="H73" s="126">
        <v>1</v>
      </c>
      <c r="I73" s="126">
        <v>1</v>
      </c>
      <c r="J73" s="126">
        <v>1</v>
      </c>
      <c r="K73" s="126">
        <v>1</v>
      </c>
      <c r="L73" s="126">
        <v>2</v>
      </c>
      <c r="M73" s="126">
        <v>1</v>
      </c>
      <c r="N73" s="126"/>
      <c r="O73" s="126">
        <v>2</v>
      </c>
      <c r="P73" s="127"/>
      <c r="Q73" s="126"/>
      <c r="R73" s="130">
        <v>280</v>
      </c>
      <c r="S73" s="89">
        <v>8</v>
      </c>
    </row>
    <row r="74" spans="1:19" ht="21.75" customHeight="1">
      <c r="A74" s="97">
        <v>2</v>
      </c>
      <c r="B74" s="93" t="s">
        <v>158</v>
      </c>
      <c r="C74" s="126">
        <f t="shared" si="5"/>
        <v>31</v>
      </c>
      <c r="D74" s="126">
        <v>3</v>
      </c>
      <c r="E74" s="126">
        <v>1</v>
      </c>
      <c r="F74" s="126">
        <f aca="true" t="shared" si="6" ref="F74:F80">Q74*1.5</f>
        <v>0</v>
      </c>
      <c r="G74" s="126">
        <f>S74*2.2</f>
        <v>22</v>
      </c>
      <c r="H74" s="126">
        <v>1</v>
      </c>
      <c r="I74" s="126">
        <v>1</v>
      </c>
      <c r="J74" s="126"/>
      <c r="K74" s="126">
        <v>1</v>
      </c>
      <c r="L74" s="126">
        <v>1</v>
      </c>
      <c r="M74" s="126">
        <v>1</v>
      </c>
      <c r="N74" s="126"/>
      <c r="O74" s="126"/>
      <c r="P74" s="194"/>
      <c r="Q74" s="193"/>
      <c r="R74" s="194">
        <v>348</v>
      </c>
      <c r="S74" s="193">
        <v>10</v>
      </c>
    </row>
    <row r="75" spans="1:19" ht="21.75" customHeight="1">
      <c r="A75" s="97">
        <v>3</v>
      </c>
      <c r="B75" s="93" t="s">
        <v>157</v>
      </c>
      <c r="C75" s="126">
        <f t="shared" si="5"/>
        <v>33.2</v>
      </c>
      <c r="D75" s="126">
        <v>3</v>
      </c>
      <c r="E75" s="126">
        <v>1</v>
      </c>
      <c r="F75" s="126">
        <f t="shared" si="6"/>
        <v>0</v>
      </c>
      <c r="G75" s="126">
        <f>S75*2.2</f>
        <v>24.200000000000003</v>
      </c>
      <c r="H75" s="126">
        <v>1</v>
      </c>
      <c r="I75" s="126">
        <v>1</v>
      </c>
      <c r="J75" s="126"/>
      <c r="K75" s="126">
        <v>1</v>
      </c>
      <c r="L75" s="126">
        <v>1</v>
      </c>
      <c r="M75" s="126">
        <v>1</v>
      </c>
      <c r="N75" s="126"/>
      <c r="O75" s="126"/>
      <c r="P75" s="194"/>
      <c r="Q75" s="193"/>
      <c r="R75" s="194">
        <v>403</v>
      </c>
      <c r="S75" s="193">
        <v>11</v>
      </c>
    </row>
    <row r="76" spans="1:19" ht="21.75" customHeight="1">
      <c r="A76" s="97">
        <v>4</v>
      </c>
      <c r="B76" s="93" t="s">
        <v>216</v>
      </c>
      <c r="C76" s="126">
        <f t="shared" si="5"/>
        <v>62.6</v>
      </c>
      <c r="D76" s="128">
        <v>3</v>
      </c>
      <c r="E76" s="128">
        <v>1</v>
      </c>
      <c r="F76" s="126">
        <f t="shared" si="6"/>
        <v>36</v>
      </c>
      <c r="G76" s="126">
        <f>S76*2.2</f>
        <v>17.6</v>
      </c>
      <c r="H76" s="126">
        <v>1</v>
      </c>
      <c r="I76" s="126">
        <v>1</v>
      </c>
      <c r="J76" s="126"/>
      <c r="K76" s="126">
        <v>1</v>
      </c>
      <c r="L76" s="126">
        <v>1</v>
      </c>
      <c r="M76" s="126">
        <v>1</v>
      </c>
      <c r="N76" s="126"/>
      <c r="O76" s="126"/>
      <c r="P76" s="201">
        <v>416</v>
      </c>
      <c r="Q76" s="193">
        <v>24</v>
      </c>
      <c r="R76" s="201">
        <v>319</v>
      </c>
      <c r="S76" s="193">
        <v>8</v>
      </c>
    </row>
    <row r="77" spans="1:19" ht="21.75" customHeight="1">
      <c r="A77" s="97">
        <v>5</v>
      </c>
      <c r="B77" s="93" t="s">
        <v>166</v>
      </c>
      <c r="C77" s="126">
        <f t="shared" si="5"/>
        <v>34.1</v>
      </c>
      <c r="D77" s="128">
        <v>3</v>
      </c>
      <c r="E77" s="128">
        <v>1</v>
      </c>
      <c r="F77" s="126">
        <f>Q77*1.2</f>
        <v>15.6</v>
      </c>
      <c r="G77" s="126">
        <f>S77*1.9</f>
        <v>9.5</v>
      </c>
      <c r="H77" s="126">
        <v>1</v>
      </c>
      <c r="I77" s="126">
        <v>1</v>
      </c>
      <c r="J77" s="126"/>
      <c r="K77" s="126">
        <v>1</v>
      </c>
      <c r="L77" s="126">
        <v>1</v>
      </c>
      <c r="M77" s="126">
        <v>1</v>
      </c>
      <c r="N77" s="126"/>
      <c r="O77" s="126"/>
      <c r="P77" s="201">
        <v>210</v>
      </c>
      <c r="Q77" s="200">
        <v>13</v>
      </c>
      <c r="R77" s="201">
        <v>194</v>
      </c>
      <c r="S77" s="200">
        <v>5</v>
      </c>
    </row>
    <row r="78" spans="1:19" ht="21.75" customHeight="1">
      <c r="A78" s="97">
        <v>6</v>
      </c>
      <c r="B78" s="93" t="s">
        <v>167</v>
      </c>
      <c r="C78" s="126">
        <f t="shared" si="5"/>
        <v>46</v>
      </c>
      <c r="D78" s="126">
        <v>3</v>
      </c>
      <c r="E78" s="126">
        <v>1</v>
      </c>
      <c r="F78" s="126">
        <f>Q78*1.2</f>
        <v>18</v>
      </c>
      <c r="G78" s="126">
        <f>S78*1.9</f>
        <v>19</v>
      </c>
      <c r="H78" s="126">
        <v>1</v>
      </c>
      <c r="I78" s="126">
        <v>1</v>
      </c>
      <c r="J78" s="126"/>
      <c r="K78" s="126">
        <v>1</v>
      </c>
      <c r="L78" s="126">
        <v>1</v>
      </c>
      <c r="M78" s="126">
        <v>1</v>
      </c>
      <c r="N78" s="126"/>
      <c r="O78" s="126"/>
      <c r="P78" s="194">
        <v>311</v>
      </c>
      <c r="Q78" s="193">
        <v>15</v>
      </c>
      <c r="R78" s="194">
        <v>238</v>
      </c>
      <c r="S78" s="193">
        <v>10</v>
      </c>
    </row>
    <row r="79" spans="1:19" ht="21.75" customHeight="1">
      <c r="A79" s="97">
        <v>7</v>
      </c>
      <c r="B79" s="93" t="s">
        <v>168</v>
      </c>
      <c r="C79" s="126">
        <f t="shared" si="5"/>
        <v>41.3</v>
      </c>
      <c r="D79" s="126">
        <v>3</v>
      </c>
      <c r="E79" s="126">
        <v>1</v>
      </c>
      <c r="F79" s="126">
        <f t="shared" si="6"/>
        <v>0</v>
      </c>
      <c r="G79" s="126">
        <f>S79*1.9</f>
        <v>32.3</v>
      </c>
      <c r="H79" s="126">
        <v>1</v>
      </c>
      <c r="I79" s="126">
        <v>1</v>
      </c>
      <c r="J79" s="126"/>
      <c r="K79" s="126">
        <v>1</v>
      </c>
      <c r="L79" s="126">
        <v>1</v>
      </c>
      <c r="M79" s="126">
        <v>1</v>
      </c>
      <c r="N79" s="126"/>
      <c r="O79" s="126"/>
      <c r="P79" s="194"/>
      <c r="Q79" s="193"/>
      <c r="R79" s="194">
        <v>562</v>
      </c>
      <c r="S79" s="193">
        <v>17</v>
      </c>
    </row>
    <row r="80" spans="1:19" ht="21.75" customHeight="1">
      <c r="A80" s="97">
        <v>8</v>
      </c>
      <c r="B80" s="93" t="s">
        <v>169</v>
      </c>
      <c r="C80" s="126">
        <f t="shared" si="5"/>
        <v>28</v>
      </c>
      <c r="D80" s="126">
        <v>3</v>
      </c>
      <c r="E80" s="126">
        <v>1</v>
      </c>
      <c r="F80" s="126">
        <f t="shared" si="6"/>
        <v>0</v>
      </c>
      <c r="G80" s="126">
        <f>S80*1.9</f>
        <v>19</v>
      </c>
      <c r="H80" s="126">
        <v>1</v>
      </c>
      <c r="I80" s="126">
        <v>1</v>
      </c>
      <c r="J80" s="126"/>
      <c r="K80" s="126">
        <v>1</v>
      </c>
      <c r="L80" s="126">
        <v>1</v>
      </c>
      <c r="M80" s="126">
        <v>1</v>
      </c>
      <c r="N80" s="126"/>
      <c r="O80" s="126"/>
      <c r="P80" s="194"/>
      <c r="Q80" s="193"/>
      <c r="R80" s="194">
        <v>317</v>
      </c>
      <c r="S80" s="193">
        <v>10</v>
      </c>
    </row>
    <row r="81" spans="1:19" ht="21.75" customHeight="1">
      <c r="A81" s="97">
        <v>9</v>
      </c>
      <c r="B81" s="93" t="s">
        <v>170</v>
      </c>
      <c r="C81" s="126">
        <f t="shared" si="5"/>
        <v>29.799999999999997</v>
      </c>
      <c r="D81" s="126">
        <v>3</v>
      </c>
      <c r="E81" s="126">
        <v>1</v>
      </c>
      <c r="F81" s="126">
        <f>Q81*1.2</f>
        <v>13.2</v>
      </c>
      <c r="G81" s="126">
        <f>S81*1.9</f>
        <v>7.6</v>
      </c>
      <c r="H81" s="126">
        <v>1</v>
      </c>
      <c r="I81" s="126">
        <v>1</v>
      </c>
      <c r="J81" s="126"/>
      <c r="K81" s="126">
        <v>1</v>
      </c>
      <c r="L81" s="126">
        <v>1</v>
      </c>
      <c r="M81" s="126">
        <v>1</v>
      </c>
      <c r="N81" s="126"/>
      <c r="O81" s="126"/>
      <c r="P81" s="194">
        <v>150</v>
      </c>
      <c r="Q81" s="193">
        <v>11</v>
      </c>
      <c r="R81" s="194">
        <v>109</v>
      </c>
      <c r="S81" s="193">
        <v>4</v>
      </c>
    </row>
    <row r="82" spans="1:19" ht="21.75" customHeight="1">
      <c r="A82" s="82" t="s">
        <v>208</v>
      </c>
      <c r="B82" s="10" t="s">
        <v>180</v>
      </c>
      <c r="C82" s="126">
        <f>SUM(D82:O82)</f>
        <v>0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30"/>
      <c r="Q82" s="126"/>
      <c r="R82" s="130"/>
      <c r="S82" s="126"/>
    </row>
    <row r="83" spans="1:19" ht="21.75" customHeight="1">
      <c r="A83" s="97">
        <v>1</v>
      </c>
      <c r="B83" s="93" t="s">
        <v>173</v>
      </c>
      <c r="C83" s="126">
        <f aca="true" t="shared" si="7" ref="C83:C91">SUM(D83:O83)</f>
        <v>30.6</v>
      </c>
      <c r="D83" s="126">
        <v>3</v>
      </c>
      <c r="E83" s="126">
        <v>1</v>
      </c>
      <c r="F83" s="126"/>
      <c r="G83" s="126">
        <f>S83*2.2</f>
        <v>17.6</v>
      </c>
      <c r="H83" s="126">
        <v>1</v>
      </c>
      <c r="I83" s="126">
        <v>1</v>
      </c>
      <c r="J83" s="126">
        <v>1</v>
      </c>
      <c r="K83" s="126">
        <v>1</v>
      </c>
      <c r="L83" s="126">
        <v>2</v>
      </c>
      <c r="M83" s="126">
        <v>1</v>
      </c>
      <c r="N83" s="126"/>
      <c r="O83" s="126">
        <v>2</v>
      </c>
      <c r="P83" s="127"/>
      <c r="Q83" s="126"/>
      <c r="R83" s="173">
        <v>273</v>
      </c>
      <c r="S83" s="89">
        <v>8</v>
      </c>
    </row>
    <row r="84" spans="1:19" ht="21.75" customHeight="1">
      <c r="A84" s="97">
        <v>2</v>
      </c>
      <c r="B84" s="102" t="s">
        <v>217</v>
      </c>
      <c r="C84" s="126">
        <f t="shared" si="7"/>
        <v>34.400000000000006</v>
      </c>
      <c r="D84" s="202">
        <v>2</v>
      </c>
      <c r="E84" s="202">
        <v>1</v>
      </c>
      <c r="F84" s="126">
        <f>Q84*1.5</f>
        <v>0</v>
      </c>
      <c r="G84" s="126">
        <f aca="true" t="shared" si="8" ref="G84:G91">S84*2.2</f>
        <v>26.400000000000002</v>
      </c>
      <c r="H84" s="126">
        <v>1</v>
      </c>
      <c r="I84" s="126">
        <v>1</v>
      </c>
      <c r="J84" s="126"/>
      <c r="K84" s="126">
        <v>1</v>
      </c>
      <c r="L84" s="126">
        <v>1</v>
      </c>
      <c r="M84" s="126">
        <v>1</v>
      </c>
      <c r="N84" s="126"/>
      <c r="O84" s="126"/>
      <c r="P84" s="203">
        <v>0</v>
      </c>
      <c r="Q84" s="202">
        <v>0</v>
      </c>
      <c r="R84" s="203">
        <v>391</v>
      </c>
      <c r="S84" s="202">
        <v>12</v>
      </c>
    </row>
    <row r="85" spans="1:19" ht="21.75" customHeight="1">
      <c r="A85" s="97">
        <v>3</v>
      </c>
      <c r="B85" s="102" t="s">
        <v>218</v>
      </c>
      <c r="C85" s="126">
        <f t="shared" si="7"/>
        <v>46.2</v>
      </c>
      <c r="D85" s="202">
        <v>3</v>
      </c>
      <c r="E85" s="202">
        <v>1</v>
      </c>
      <c r="F85" s="126">
        <f aca="true" t="shared" si="9" ref="F85:F91">Q85*1.5</f>
        <v>24</v>
      </c>
      <c r="G85" s="126">
        <f t="shared" si="8"/>
        <v>13.200000000000001</v>
      </c>
      <c r="H85" s="126">
        <v>1</v>
      </c>
      <c r="I85" s="126">
        <v>1</v>
      </c>
      <c r="J85" s="126"/>
      <c r="K85" s="126">
        <v>1</v>
      </c>
      <c r="L85" s="126">
        <v>1</v>
      </c>
      <c r="M85" s="126">
        <v>1</v>
      </c>
      <c r="N85" s="126"/>
      <c r="O85" s="126"/>
      <c r="P85" s="173">
        <v>226</v>
      </c>
      <c r="Q85" s="202">
        <v>16</v>
      </c>
      <c r="R85" s="173">
        <v>169</v>
      </c>
      <c r="S85" s="202">
        <v>6</v>
      </c>
    </row>
    <row r="86" spans="1:19" ht="21.75" customHeight="1">
      <c r="A86" s="97">
        <v>4</v>
      </c>
      <c r="B86" s="102" t="s">
        <v>219</v>
      </c>
      <c r="C86" s="126">
        <f t="shared" si="7"/>
        <v>43.3</v>
      </c>
      <c r="D86" s="204">
        <v>3</v>
      </c>
      <c r="E86" s="204">
        <v>1</v>
      </c>
      <c r="F86" s="126">
        <f t="shared" si="9"/>
        <v>25.5</v>
      </c>
      <c r="G86" s="126">
        <f t="shared" si="8"/>
        <v>8.8</v>
      </c>
      <c r="H86" s="126">
        <v>1</v>
      </c>
      <c r="I86" s="126">
        <v>1</v>
      </c>
      <c r="J86" s="126"/>
      <c r="K86" s="126">
        <v>1</v>
      </c>
      <c r="L86" s="126">
        <v>1</v>
      </c>
      <c r="M86" s="126">
        <v>1</v>
      </c>
      <c r="N86" s="126"/>
      <c r="O86" s="126"/>
      <c r="P86" s="205">
        <v>168</v>
      </c>
      <c r="Q86" s="202">
        <v>17</v>
      </c>
      <c r="R86" s="205">
        <v>133</v>
      </c>
      <c r="S86" s="202">
        <v>4</v>
      </c>
    </row>
    <row r="87" spans="1:19" ht="21.75" customHeight="1">
      <c r="A87" s="97">
        <v>5</v>
      </c>
      <c r="B87" s="102" t="s">
        <v>220</v>
      </c>
      <c r="C87" s="126">
        <f t="shared" si="7"/>
        <v>58.1</v>
      </c>
      <c r="D87" s="204">
        <v>3</v>
      </c>
      <c r="E87" s="204">
        <v>1</v>
      </c>
      <c r="F87" s="126">
        <f t="shared" si="9"/>
        <v>31.5</v>
      </c>
      <c r="G87" s="126">
        <f t="shared" si="8"/>
        <v>17.6</v>
      </c>
      <c r="H87" s="126">
        <v>1</v>
      </c>
      <c r="I87" s="126">
        <v>1</v>
      </c>
      <c r="J87" s="126"/>
      <c r="K87" s="126">
        <v>1</v>
      </c>
      <c r="L87" s="126">
        <v>1</v>
      </c>
      <c r="M87" s="126">
        <v>1</v>
      </c>
      <c r="N87" s="126"/>
      <c r="O87" s="126"/>
      <c r="P87" s="205">
        <v>476</v>
      </c>
      <c r="Q87" s="204">
        <v>21</v>
      </c>
      <c r="R87" s="205">
        <v>267</v>
      </c>
      <c r="S87" s="204">
        <v>8</v>
      </c>
    </row>
    <row r="88" spans="1:19" ht="21.75" customHeight="1">
      <c r="A88" s="97">
        <v>6</v>
      </c>
      <c r="B88" s="102" t="s">
        <v>181</v>
      </c>
      <c r="C88" s="126">
        <f t="shared" si="7"/>
        <v>23.400000000000002</v>
      </c>
      <c r="D88" s="202">
        <v>2</v>
      </c>
      <c r="E88" s="202">
        <v>1</v>
      </c>
      <c r="F88" s="126">
        <f t="shared" si="9"/>
        <v>0</v>
      </c>
      <c r="G88" s="126">
        <f t="shared" si="8"/>
        <v>15.400000000000002</v>
      </c>
      <c r="H88" s="126">
        <v>1</v>
      </c>
      <c r="I88" s="126">
        <v>1</v>
      </c>
      <c r="J88" s="126"/>
      <c r="K88" s="126">
        <v>1</v>
      </c>
      <c r="L88" s="126">
        <v>1</v>
      </c>
      <c r="M88" s="126">
        <v>1</v>
      </c>
      <c r="N88" s="126"/>
      <c r="O88" s="126"/>
      <c r="P88" s="173"/>
      <c r="Q88" s="202"/>
      <c r="R88" s="173">
        <v>228</v>
      </c>
      <c r="S88" s="202">
        <v>7</v>
      </c>
    </row>
    <row r="89" spans="1:19" ht="21.75" customHeight="1">
      <c r="A89" s="97">
        <v>7</v>
      </c>
      <c r="B89" s="102" t="s">
        <v>182</v>
      </c>
      <c r="C89" s="126">
        <f t="shared" si="7"/>
        <v>60.3</v>
      </c>
      <c r="D89" s="202">
        <v>3</v>
      </c>
      <c r="E89" s="202">
        <v>1</v>
      </c>
      <c r="F89" s="126">
        <f t="shared" si="9"/>
        <v>31.5</v>
      </c>
      <c r="G89" s="126">
        <f t="shared" si="8"/>
        <v>19.8</v>
      </c>
      <c r="H89" s="126">
        <v>1</v>
      </c>
      <c r="I89" s="126">
        <v>1</v>
      </c>
      <c r="J89" s="126"/>
      <c r="K89" s="126">
        <v>1</v>
      </c>
      <c r="L89" s="126">
        <v>1</v>
      </c>
      <c r="M89" s="126">
        <v>1</v>
      </c>
      <c r="N89" s="126"/>
      <c r="O89" s="126"/>
      <c r="P89" s="173">
        <v>559</v>
      </c>
      <c r="Q89" s="202">
        <v>21</v>
      </c>
      <c r="R89" s="173">
        <v>349</v>
      </c>
      <c r="S89" s="202">
        <v>9</v>
      </c>
    </row>
    <row r="90" spans="1:19" ht="21.75" customHeight="1">
      <c r="A90" s="97">
        <v>8</v>
      </c>
      <c r="B90" s="102" t="s">
        <v>183</v>
      </c>
      <c r="C90" s="126">
        <f t="shared" si="7"/>
        <v>25.6</v>
      </c>
      <c r="D90" s="202">
        <v>2</v>
      </c>
      <c r="E90" s="202">
        <v>1</v>
      </c>
      <c r="F90" s="126">
        <f t="shared" si="9"/>
        <v>0</v>
      </c>
      <c r="G90" s="126">
        <f t="shared" si="8"/>
        <v>17.6</v>
      </c>
      <c r="H90" s="126">
        <v>1</v>
      </c>
      <c r="I90" s="126">
        <v>1</v>
      </c>
      <c r="J90" s="126"/>
      <c r="K90" s="126">
        <v>1</v>
      </c>
      <c r="L90" s="126">
        <v>1</v>
      </c>
      <c r="M90" s="126">
        <v>1</v>
      </c>
      <c r="N90" s="126"/>
      <c r="O90" s="126"/>
      <c r="P90" s="173"/>
      <c r="Q90" s="202"/>
      <c r="R90" s="173">
        <v>279</v>
      </c>
      <c r="S90" s="202">
        <v>8</v>
      </c>
    </row>
    <row r="91" spans="1:19" ht="21.75" customHeight="1">
      <c r="A91" s="97">
        <v>9</v>
      </c>
      <c r="B91" s="102" t="s">
        <v>221</v>
      </c>
      <c r="C91" s="126">
        <f t="shared" si="7"/>
        <v>32.2</v>
      </c>
      <c r="D91" s="202">
        <v>2</v>
      </c>
      <c r="E91" s="202">
        <v>1</v>
      </c>
      <c r="F91" s="126">
        <f t="shared" si="9"/>
        <v>0</v>
      </c>
      <c r="G91" s="126">
        <f t="shared" si="8"/>
        <v>24.200000000000003</v>
      </c>
      <c r="H91" s="126">
        <v>1</v>
      </c>
      <c r="I91" s="126">
        <v>1</v>
      </c>
      <c r="J91" s="126"/>
      <c r="K91" s="126">
        <v>1</v>
      </c>
      <c r="L91" s="126">
        <v>1</v>
      </c>
      <c r="M91" s="126">
        <v>1</v>
      </c>
      <c r="N91" s="126"/>
      <c r="O91" s="126"/>
      <c r="P91" s="173">
        <v>0</v>
      </c>
      <c r="Q91" s="202">
        <v>0</v>
      </c>
      <c r="R91" s="173">
        <v>412</v>
      </c>
      <c r="S91" s="202">
        <v>11</v>
      </c>
    </row>
    <row r="92" spans="1:19" ht="21.75" customHeight="1">
      <c r="A92" s="11"/>
      <c r="B92" s="124" t="s">
        <v>112</v>
      </c>
      <c r="C92" s="129">
        <f aca="true" t="shared" si="10" ref="C92:S92">SUM(C62:C91)</f>
        <v>897.6999999999999</v>
      </c>
      <c r="D92" s="129">
        <f t="shared" si="10"/>
        <v>75</v>
      </c>
      <c r="E92" s="129">
        <f t="shared" si="10"/>
        <v>25</v>
      </c>
      <c r="F92" s="129">
        <f t="shared" si="10"/>
        <v>258.29999999999995</v>
      </c>
      <c r="G92" s="129">
        <f t="shared" si="10"/>
        <v>388.4</v>
      </c>
      <c r="H92" s="129">
        <f t="shared" si="10"/>
        <v>26</v>
      </c>
      <c r="I92" s="129">
        <f t="shared" si="10"/>
        <v>27</v>
      </c>
      <c r="J92" s="129">
        <f t="shared" si="10"/>
        <v>5</v>
      </c>
      <c r="K92" s="129">
        <f t="shared" si="10"/>
        <v>26</v>
      </c>
      <c r="L92" s="129">
        <f t="shared" si="10"/>
        <v>31</v>
      </c>
      <c r="M92" s="129">
        <f t="shared" si="10"/>
        <v>26</v>
      </c>
      <c r="N92" s="129">
        <f t="shared" si="10"/>
        <v>0</v>
      </c>
      <c r="O92" s="129">
        <f t="shared" si="10"/>
        <v>10</v>
      </c>
      <c r="P92" s="129">
        <f t="shared" si="10"/>
        <v>3139</v>
      </c>
      <c r="Q92" s="129">
        <f t="shared" si="10"/>
        <v>180</v>
      </c>
      <c r="R92" s="129">
        <f t="shared" si="10"/>
        <v>5948</v>
      </c>
      <c r="S92" s="129">
        <f t="shared" si="10"/>
        <v>182</v>
      </c>
    </row>
    <row r="112" spans="1:16" ht="20.25" customHeight="1">
      <c r="A112" s="14" t="s">
        <v>242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4" spans="1:19" ht="18.75" customHeight="1">
      <c r="A114" s="226" t="s">
        <v>10</v>
      </c>
      <c r="B114" s="226" t="s">
        <v>0</v>
      </c>
      <c r="C114" s="226" t="s">
        <v>222</v>
      </c>
      <c r="D114" s="226" t="s">
        <v>27</v>
      </c>
      <c r="E114" s="226" t="s">
        <v>26</v>
      </c>
      <c r="F114" s="226" t="s">
        <v>28</v>
      </c>
      <c r="G114" s="226" t="s">
        <v>150</v>
      </c>
      <c r="H114" s="226" t="s">
        <v>38</v>
      </c>
      <c r="I114" s="226"/>
      <c r="J114" s="226"/>
      <c r="K114" s="226"/>
      <c r="L114" s="226"/>
      <c r="M114" s="226"/>
      <c r="N114" s="226"/>
      <c r="O114" s="226"/>
      <c r="P114" s="226" t="s">
        <v>212</v>
      </c>
      <c r="Q114" s="226" t="s">
        <v>213</v>
      </c>
      <c r="R114" s="226" t="s">
        <v>214</v>
      </c>
      <c r="S114" s="226" t="s">
        <v>215</v>
      </c>
    </row>
    <row r="115" spans="1:19" ht="69.75" customHeight="1">
      <c r="A115" s="226"/>
      <c r="B115" s="226"/>
      <c r="C115" s="226"/>
      <c r="D115" s="226" t="s">
        <v>25</v>
      </c>
      <c r="E115" s="226"/>
      <c r="F115" s="226"/>
      <c r="G115" s="226"/>
      <c r="H115" s="16" t="s">
        <v>30</v>
      </c>
      <c r="I115" s="16" t="s">
        <v>31</v>
      </c>
      <c r="J115" s="16" t="s">
        <v>32</v>
      </c>
      <c r="K115" s="16" t="s">
        <v>33</v>
      </c>
      <c r="L115" s="16" t="s">
        <v>34</v>
      </c>
      <c r="M115" s="16" t="s">
        <v>35</v>
      </c>
      <c r="N115" s="16" t="s">
        <v>36</v>
      </c>
      <c r="O115" s="16" t="s">
        <v>37</v>
      </c>
      <c r="P115" s="226"/>
      <c r="Q115" s="226"/>
      <c r="R115" s="226"/>
      <c r="S115" s="226"/>
    </row>
    <row r="116" spans="1:19" ht="18.75" customHeight="1">
      <c r="A116" s="13">
        <v>1</v>
      </c>
      <c r="B116" s="13">
        <v>2</v>
      </c>
      <c r="C116" s="13">
        <v>3</v>
      </c>
      <c r="D116" s="13">
        <v>4</v>
      </c>
      <c r="E116" s="13">
        <v>5</v>
      </c>
      <c r="F116" s="13">
        <v>6</v>
      </c>
      <c r="G116" s="13">
        <v>7</v>
      </c>
      <c r="H116" s="13">
        <v>8</v>
      </c>
      <c r="I116" s="13">
        <v>9</v>
      </c>
      <c r="J116" s="13">
        <v>10</v>
      </c>
      <c r="K116" s="13">
        <v>11</v>
      </c>
      <c r="L116" s="13">
        <v>12</v>
      </c>
      <c r="M116" s="13">
        <v>13</v>
      </c>
      <c r="N116" s="13">
        <v>14</v>
      </c>
      <c r="O116" s="13">
        <v>15</v>
      </c>
      <c r="P116" s="13">
        <v>16</v>
      </c>
      <c r="Q116" s="63">
        <v>17</v>
      </c>
      <c r="R116" s="13">
        <v>18</v>
      </c>
      <c r="S116" s="63">
        <v>19</v>
      </c>
    </row>
    <row r="117" spans="1:19" ht="21.75" customHeight="1">
      <c r="A117" s="120" t="s">
        <v>40</v>
      </c>
      <c r="B117" s="64" t="s">
        <v>149</v>
      </c>
      <c r="C117" s="126">
        <f aca="true" t="shared" si="11" ref="C117:C136">SUM(D117:O117)</f>
        <v>3.599999999999998</v>
      </c>
      <c r="D117" s="126">
        <f aca="true" t="shared" si="12" ref="D117:O117">D62-D6</f>
        <v>1</v>
      </c>
      <c r="E117" s="126">
        <f t="shared" si="12"/>
        <v>0</v>
      </c>
      <c r="F117" s="126">
        <f t="shared" si="12"/>
        <v>0</v>
      </c>
      <c r="G117" s="126">
        <f t="shared" si="12"/>
        <v>1.5999999999999979</v>
      </c>
      <c r="H117" s="126">
        <f t="shared" si="12"/>
        <v>0</v>
      </c>
      <c r="I117" s="126">
        <f t="shared" si="12"/>
        <v>1</v>
      </c>
      <c r="J117" s="126">
        <f t="shared" si="12"/>
        <v>0</v>
      </c>
      <c r="K117" s="126">
        <f t="shared" si="12"/>
        <v>0</v>
      </c>
      <c r="L117" s="126">
        <f t="shared" si="12"/>
        <v>0</v>
      </c>
      <c r="M117" s="126">
        <f t="shared" si="12"/>
        <v>0</v>
      </c>
      <c r="N117" s="126">
        <f t="shared" si="12"/>
        <v>0</v>
      </c>
      <c r="O117" s="126">
        <f t="shared" si="12"/>
        <v>0</v>
      </c>
      <c r="P117" s="130"/>
      <c r="Q117" s="126">
        <f>Q62-Q6</f>
        <v>0</v>
      </c>
      <c r="R117" s="130">
        <v>305</v>
      </c>
      <c r="S117" s="126">
        <f>S62-S6</f>
        <v>0</v>
      </c>
    </row>
    <row r="118" spans="1:19" ht="21.75" customHeight="1">
      <c r="A118" s="42" t="s">
        <v>193</v>
      </c>
      <c r="B118" s="10" t="s">
        <v>131</v>
      </c>
      <c r="C118" s="126">
        <f>SUM(D118:O118)</f>
        <v>0</v>
      </c>
      <c r="D118" s="126">
        <f aca="true" t="shared" si="13" ref="D118:O118">D63-D7</f>
        <v>0</v>
      </c>
      <c r="E118" s="126">
        <f t="shared" si="13"/>
        <v>0</v>
      </c>
      <c r="F118" s="126">
        <f t="shared" si="13"/>
        <v>0</v>
      </c>
      <c r="G118" s="126">
        <f t="shared" si="13"/>
        <v>0</v>
      </c>
      <c r="H118" s="126">
        <f t="shared" si="13"/>
        <v>0</v>
      </c>
      <c r="I118" s="126">
        <f t="shared" si="13"/>
        <v>0</v>
      </c>
      <c r="J118" s="126">
        <f t="shared" si="13"/>
        <v>0</v>
      </c>
      <c r="K118" s="126">
        <f t="shared" si="13"/>
        <v>0</v>
      </c>
      <c r="L118" s="126">
        <f t="shared" si="13"/>
        <v>0</v>
      </c>
      <c r="M118" s="126">
        <f t="shared" si="13"/>
        <v>0</v>
      </c>
      <c r="N118" s="126">
        <f t="shared" si="13"/>
        <v>0</v>
      </c>
      <c r="O118" s="126">
        <f t="shared" si="13"/>
        <v>0</v>
      </c>
      <c r="P118" s="130"/>
      <c r="Q118" s="126">
        <f>Q63-Q7</f>
        <v>0</v>
      </c>
      <c r="R118" s="130"/>
      <c r="S118" s="126">
        <f>S63-S7</f>
        <v>0</v>
      </c>
    </row>
    <row r="119" spans="1:19" ht="21.75" customHeight="1">
      <c r="A119" s="43">
        <v>1</v>
      </c>
      <c r="B119" s="64" t="s">
        <v>138</v>
      </c>
      <c r="C119" s="126">
        <f t="shared" si="11"/>
        <v>3.6000000000000014</v>
      </c>
      <c r="D119" s="126">
        <f aca="true" t="shared" si="14" ref="D119:O119">D64-D8</f>
        <v>0</v>
      </c>
      <c r="E119" s="126">
        <f t="shared" si="14"/>
        <v>0</v>
      </c>
      <c r="F119" s="126">
        <f t="shared" si="14"/>
        <v>0</v>
      </c>
      <c r="G119" s="126">
        <f t="shared" si="14"/>
        <v>0.6000000000000014</v>
      </c>
      <c r="H119" s="126">
        <f t="shared" si="14"/>
        <v>0</v>
      </c>
      <c r="I119" s="126">
        <f t="shared" si="14"/>
        <v>1</v>
      </c>
      <c r="J119" s="126">
        <f t="shared" si="14"/>
        <v>1</v>
      </c>
      <c r="K119" s="126">
        <f t="shared" si="14"/>
        <v>0</v>
      </c>
      <c r="L119" s="126">
        <f t="shared" si="14"/>
        <v>0</v>
      </c>
      <c r="M119" s="126">
        <f t="shared" si="14"/>
        <v>0</v>
      </c>
      <c r="N119" s="126">
        <f t="shared" si="14"/>
        <v>0</v>
      </c>
      <c r="O119" s="126">
        <f t="shared" si="14"/>
        <v>1</v>
      </c>
      <c r="P119" s="127"/>
      <c r="Q119" s="126">
        <f>Q64-Q8</f>
        <v>0</v>
      </c>
      <c r="R119" s="127">
        <v>181</v>
      </c>
      <c r="S119" s="126">
        <f>S64-S8</f>
        <v>0</v>
      </c>
    </row>
    <row r="120" spans="1:19" ht="21.75" customHeight="1">
      <c r="A120" s="43">
        <v>2</v>
      </c>
      <c r="B120" s="64" t="s">
        <v>139</v>
      </c>
      <c r="C120" s="126">
        <f t="shared" si="11"/>
        <v>4.5</v>
      </c>
      <c r="D120" s="126">
        <f aca="true" t="shared" si="15" ref="D120:O120">D65-D9</f>
        <v>0</v>
      </c>
      <c r="E120" s="126">
        <f t="shared" si="15"/>
        <v>1</v>
      </c>
      <c r="F120" s="126">
        <f t="shared" si="15"/>
        <v>-0.5</v>
      </c>
      <c r="G120" s="126">
        <f t="shared" si="15"/>
        <v>0</v>
      </c>
      <c r="H120" s="126">
        <f t="shared" si="15"/>
        <v>1</v>
      </c>
      <c r="I120" s="126">
        <f t="shared" si="15"/>
        <v>1</v>
      </c>
      <c r="J120" s="126">
        <f t="shared" si="15"/>
        <v>0</v>
      </c>
      <c r="K120" s="126">
        <f t="shared" si="15"/>
        <v>0</v>
      </c>
      <c r="L120" s="126">
        <f t="shared" si="15"/>
        <v>1</v>
      </c>
      <c r="M120" s="126">
        <f t="shared" si="15"/>
        <v>1</v>
      </c>
      <c r="N120" s="126">
        <f t="shared" si="15"/>
        <v>0</v>
      </c>
      <c r="O120" s="126">
        <f t="shared" si="15"/>
        <v>0</v>
      </c>
      <c r="P120" s="131">
        <v>163</v>
      </c>
      <c r="Q120" s="126">
        <f>Q65-Q9</f>
        <v>-2</v>
      </c>
      <c r="R120" s="127"/>
      <c r="S120" s="126">
        <f>S65-S9</f>
        <v>0</v>
      </c>
    </row>
    <row r="121" spans="1:19" ht="21.75" customHeight="1">
      <c r="A121" s="29">
        <v>3</v>
      </c>
      <c r="B121" s="64" t="s">
        <v>140</v>
      </c>
      <c r="C121" s="126">
        <f t="shared" si="11"/>
        <v>5.5</v>
      </c>
      <c r="D121" s="126">
        <f aca="true" t="shared" si="16" ref="D121:O121">D66-D10</f>
        <v>1</v>
      </c>
      <c r="E121" s="126">
        <f t="shared" si="16"/>
        <v>1</v>
      </c>
      <c r="F121" s="126">
        <f t="shared" si="16"/>
        <v>-0.5</v>
      </c>
      <c r="G121" s="126">
        <f t="shared" si="16"/>
        <v>0</v>
      </c>
      <c r="H121" s="126">
        <f t="shared" si="16"/>
        <v>1</v>
      </c>
      <c r="I121" s="126">
        <f t="shared" si="16"/>
        <v>1</v>
      </c>
      <c r="J121" s="126">
        <f t="shared" si="16"/>
        <v>0</v>
      </c>
      <c r="K121" s="126">
        <f t="shared" si="16"/>
        <v>0</v>
      </c>
      <c r="L121" s="126">
        <f t="shared" si="16"/>
        <v>1</v>
      </c>
      <c r="M121" s="126">
        <f t="shared" si="16"/>
        <v>1</v>
      </c>
      <c r="N121" s="126">
        <f t="shared" si="16"/>
        <v>0</v>
      </c>
      <c r="O121" s="126">
        <f t="shared" si="16"/>
        <v>0</v>
      </c>
      <c r="P121" s="206">
        <v>82</v>
      </c>
      <c r="Q121" s="126">
        <f>Q66-Q10</f>
        <v>0</v>
      </c>
      <c r="R121" s="130"/>
      <c r="S121" s="126">
        <f>S66-S10</f>
        <v>0</v>
      </c>
    </row>
    <row r="122" spans="1:19" ht="21.75" customHeight="1">
      <c r="A122" s="29">
        <v>4</v>
      </c>
      <c r="B122" s="64" t="s">
        <v>141</v>
      </c>
      <c r="C122" s="126">
        <f t="shared" si="11"/>
        <v>2</v>
      </c>
      <c r="D122" s="126">
        <f aca="true" t="shared" si="17" ref="D122:O122">D67-D11</f>
        <v>1</v>
      </c>
      <c r="E122" s="126">
        <f t="shared" si="17"/>
        <v>1</v>
      </c>
      <c r="F122" s="126">
        <f t="shared" si="17"/>
        <v>-3</v>
      </c>
      <c r="G122" s="126">
        <f t="shared" si="17"/>
        <v>0</v>
      </c>
      <c r="H122" s="126">
        <f t="shared" si="17"/>
        <v>1</v>
      </c>
      <c r="I122" s="126">
        <f t="shared" si="17"/>
        <v>0</v>
      </c>
      <c r="J122" s="126">
        <f t="shared" si="17"/>
        <v>0</v>
      </c>
      <c r="K122" s="126">
        <f t="shared" si="17"/>
        <v>0</v>
      </c>
      <c r="L122" s="126">
        <f t="shared" si="17"/>
        <v>1</v>
      </c>
      <c r="M122" s="126">
        <f t="shared" si="17"/>
        <v>1</v>
      </c>
      <c r="N122" s="126">
        <f t="shared" si="17"/>
        <v>0</v>
      </c>
      <c r="O122" s="126">
        <f t="shared" si="17"/>
        <v>0</v>
      </c>
      <c r="P122" s="205">
        <v>116</v>
      </c>
      <c r="Q122" s="126">
        <f>Q67-Q11</f>
        <v>-1</v>
      </c>
      <c r="R122" s="173"/>
      <c r="S122" s="126">
        <f>S67-S11</f>
        <v>0</v>
      </c>
    </row>
    <row r="123" spans="1:19" ht="21.75" customHeight="1">
      <c r="A123" s="82" t="s">
        <v>194</v>
      </c>
      <c r="B123" s="10" t="s">
        <v>148</v>
      </c>
      <c r="C123" s="126">
        <f t="shared" si="11"/>
        <v>0</v>
      </c>
      <c r="D123" s="126">
        <f aca="true" t="shared" si="18" ref="D123:O123">D68-D12</f>
        <v>0</v>
      </c>
      <c r="E123" s="126">
        <f t="shared" si="18"/>
        <v>0</v>
      </c>
      <c r="F123" s="126">
        <f t="shared" si="18"/>
        <v>0</v>
      </c>
      <c r="G123" s="126">
        <f t="shared" si="18"/>
        <v>0</v>
      </c>
      <c r="H123" s="126">
        <f t="shared" si="18"/>
        <v>0</v>
      </c>
      <c r="I123" s="126">
        <f t="shared" si="18"/>
        <v>0</v>
      </c>
      <c r="J123" s="126">
        <f t="shared" si="18"/>
        <v>0</v>
      </c>
      <c r="K123" s="126">
        <f t="shared" si="18"/>
        <v>0</v>
      </c>
      <c r="L123" s="126">
        <f t="shared" si="18"/>
        <v>0</v>
      </c>
      <c r="M123" s="126">
        <f t="shared" si="18"/>
        <v>0</v>
      </c>
      <c r="N123" s="126">
        <f t="shared" si="18"/>
        <v>0</v>
      </c>
      <c r="O123" s="126">
        <f t="shared" si="18"/>
        <v>0</v>
      </c>
      <c r="P123" s="130"/>
      <c r="Q123" s="126">
        <f>Q68-Q12</f>
        <v>0</v>
      </c>
      <c r="R123" s="130"/>
      <c r="S123" s="126">
        <f>S68-S12</f>
        <v>0</v>
      </c>
    </row>
    <row r="124" spans="1:19" ht="21.75" customHeight="1">
      <c r="A124" s="43">
        <v>1</v>
      </c>
      <c r="B124" s="64" t="s">
        <v>142</v>
      </c>
      <c r="C124" s="126">
        <f t="shared" si="11"/>
        <v>1.200000000000001</v>
      </c>
      <c r="D124" s="126">
        <f aca="true" t="shared" si="19" ref="D124:O124">D69-D13</f>
        <v>0</v>
      </c>
      <c r="E124" s="126">
        <f t="shared" si="19"/>
        <v>0</v>
      </c>
      <c r="F124" s="126">
        <f t="shared" si="19"/>
        <v>0</v>
      </c>
      <c r="G124" s="126">
        <f t="shared" si="19"/>
        <v>-0.7999999999999989</v>
      </c>
      <c r="H124" s="126">
        <f t="shared" si="19"/>
        <v>0</v>
      </c>
      <c r="I124" s="126">
        <f t="shared" si="19"/>
        <v>0</v>
      </c>
      <c r="J124" s="126">
        <f t="shared" si="19"/>
        <v>0</v>
      </c>
      <c r="K124" s="126">
        <f t="shared" si="19"/>
        <v>0</v>
      </c>
      <c r="L124" s="126">
        <f t="shared" si="19"/>
        <v>1</v>
      </c>
      <c r="M124" s="126">
        <f t="shared" si="19"/>
        <v>0</v>
      </c>
      <c r="N124" s="126">
        <f t="shared" si="19"/>
        <v>0</v>
      </c>
      <c r="O124" s="126">
        <f t="shared" si="19"/>
        <v>1</v>
      </c>
      <c r="P124" s="127"/>
      <c r="Q124" s="126">
        <f>Q69-Q13</f>
        <v>0</v>
      </c>
      <c r="R124" s="127">
        <v>142</v>
      </c>
      <c r="S124" s="126">
        <f>S69-S13</f>
        <v>0</v>
      </c>
    </row>
    <row r="125" spans="1:19" ht="21.75" customHeight="1">
      <c r="A125" s="11">
        <v>2</v>
      </c>
      <c r="B125" s="64" t="s">
        <v>209</v>
      </c>
      <c r="C125" s="126">
        <f t="shared" si="11"/>
        <v>3</v>
      </c>
      <c r="D125" s="126">
        <f aca="true" t="shared" si="20" ref="D125:O125">D70-D14</f>
        <v>1</v>
      </c>
      <c r="E125" s="126">
        <f t="shared" si="20"/>
        <v>1</v>
      </c>
      <c r="F125" s="126">
        <f t="shared" si="20"/>
        <v>-2</v>
      </c>
      <c r="G125" s="126">
        <f t="shared" si="20"/>
        <v>0</v>
      </c>
      <c r="H125" s="126">
        <f t="shared" si="20"/>
        <v>0</v>
      </c>
      <c r="I125" s="126">
        <f t="shared" si="20"/>
        <v>1</v>
      </c>
      <c r="J125" s="126">
        <f t="shared" si="20"/>
        <v>0</v>
      </c>
      <c r="K125" s="126">
        <f t="shared" si="20"/>
        <v>0</v>
      </c>
      <c r="L125" s="126">
        <f t="shared" si="20"/>
        <v>1</v>
      </c>
      <c r="M125" s="126">
        <f t="shared" si="20"/>
        <v>1</v>
      </c>
      <c r="N125" s="126">
        <f t="shared" si="20"/>
        <v>0</v>
      </c>
      <c r="O125" s="126">
        <f t="shared" si="20"/>
        <v>0</v>
      </c>
      <c r="P125" s="194">
        <v>86</v>
      </c>
      <c r="Q125" s="126">
        <f>Q70-Q14</f>
        <v>0</v>
      </c>
      <c r="R125" s="194"/>
      <c r="S125" s="126">
        <f>S70-S14</f>
        <v>0</v>
      </c>
    </row>
    <row r="126" spans="1:19" ht="21.75" customHeight="1">
      <c r="A126" s="30">
        <v>3</v>
      </c>
      <c r="B126" s="64" t="s">
        <v>147</v>
      </c>
      <c r="C126" s="126">
        <f t="shared" si="11"/>
        <v>-0.39999999999999947</v>
      </c>
      <c r="D126" s="126">
        <f aca="true" t="shared" si="21" ref="D126:O126">D71-D15</f>
        <v>0</v>
      </c>
      <c r="E126" s="126">
        <f t="shared" si="21"/>
        <v>0</v>
      </c>
      <c r="F126" s="126">
        <f t="shared" si="21"/>
        <v>-2</v>
      </c>
      <c r="G126" s="126">
        <f t="shared" si="21"/>
        <v>-0.39999999999999947</v>
      </c>
      <c r="H126" s="126">
        <f t="shared" si="21"/>
        <v>0</v>
      </c>
      <c r="I126" s="126">
        <f t="shared" si="21"/>
        <v>1</v>
      </c>
      <c r="J126" s="126">
        <f t="shared" si="21"/>
        <v>0</v>
      </c>
      <c r="K126" s="126">
        <f t="shared" si="21"/>
        <v>0</v>
      </c>
      <c r="L126" s="126">
        <f t="shared" si="21"/>
        <v>0</v>
      </c>
      <c r="M126" s="126">
        <f t="shared" si="21"/>
        <v>1</v>
      </c>
      <c r="N126" s="126">
        <f t="shared" si="21"/>
        <v>0</v>
      </c>
      <c r="O126" s="126">
        <f t="shared" si="21"/>
        <v>0</v>
      </c>
      <c r="P126" s="194">
        <v>176</v>
      </c>
      <c r="Q126" s="126">
        <f>Q71-Q15</f>
        <v>-3</v>
      </c>
      <c r="R126" s="194">
        <v>49</v>
      </c>
      <c r="S126" s="126">
        <f>S71-S15</f>
        <v>0</v>
      </c>
    </row>
    <row r="127" spans="1:19" ht="21.75" customHeight="1">
      <c r="A127" s="82" t="s">
        <v>195</v>
      </c>
      <c r="B127" s="10" t="s">
        <v>152</v>
      </c>
      <c r="C127" s="126">
        <f t="shared" si="11"/>
        <v>0</v>
      </c>
      <c r="D127" s="126">
        <f aca="true" t="shared" si="22" ref="D127:O127">D72-D16</f>
        <v>0</v>
      </c>
      <c r="E127" s="126">
        <f t="shared" si="22"/>
        <v>0</v>
      </c>
      <c r="F127" s="126">
        <f t="shared" si="22"/>
        <v>0</v>
      </c>
      <c r="G127" s="126">
        <f t="shared" si="22"/>
        <v>0</v>
      </c>
      <c r="H127" s="126">
        <f t="shared" si="22"/>
        <v>0</v>
      </c>
      <c r="I127" s="126">
        <f t="shared" si="22"/>
        <v>0</v>
      </c>
      <c r="J127" s="126">
        <f t="shared" si="22"/>
        <v>0</v>
      </c>
      <c r="K127" s="126">
        <f t="shared" si="22"/>
        <v>0</v>
      </c>
      <c r="L127" s="126">
        <f t="shared" si="22"/>
        <v>0</v>
      </c>
      <c r="M127" s="126">
        <f t="shared" si="22"/>
        <v>0</v>
      </c>
      <c r="N127" s="126">
        <f t="shared" si="22"/>
        <v>0</v>
      </c>
      <c r="O127" s="126">
        <f t="shared" si="22"/>
        <v>0</v>
      </c>
      <c r="P127" s="130"/>
      <c r="Q127" s="126">
        <f>Q72-Q16</f>
        <v>0</v>
      </c>
      <c r="R127" s="130"/>
      <c r="S127" s="126">
        <f>S72-S16</f>
        <v>0</v>
      </c>
    </row>
    <row r="128" spans="1:19" ht="21.75" customHeight="1">
      <c r="A128" s="97">
        <v>1</v>
      </c>
      <c r="B128" s="98" t="s">
        <v>163</v>
      </c>
      <c r="C128" s="126">
        <f t="shared" si="11"/>
        <v>2.6000000000000014</v>
      </c>
      <c r="D128" s="126">
        <f aca="true" t="shared" si="23" ref="D128:O128">D73-D17</f>
        <v>0</v>
      </c>
      <c r="E128" s="126">
        <f t="shared" si="23"/>
        <v>0</v>
      </c>
      <c r="F128" s="126">
        <f t="shared" si="23"/>
        <v>0</v>
      </c>
      <c r="G128" s="126">
        <f t="shared" si="23"/>
        <v>-0.3999999999999986</v>
      </c>
      <c r="H128" s="126">
        <f t="shared" si="23"/>
        <v>0</v>
      </c>
      <c r="I128" s="126">
        <f t="shared" si="23"/>
        <v>0</v>
      </c>
      <c r="J128" s="126">
        <f t="shared" si="23"/>
        <v>0</v>
      </c>
      <c r="K128" s="126">
        <f t="shared" si="23"/>
        <v>0</v>
      </c>
      <c r="L128" s="126">
        <f t="shared" si="23"/>
        <v>1</v>
      </c>
      <c r="M128" s="126">
        <f t="shared" si="23"/>
        <v>0</v>
      </c>
      <c r="N128" s="126">
        <f t="shared" si="23"/>
        <v>0</v>
      </c>
      <c r="O128" s="126">
        <f t="shared" si="23"/>
        <v>2</v>
      </c>
      <c r="P128" s="127"/>
      <c r="Q128" s="126">
        <f>Q73-Q17</f>
        <v>0</v>
      </c>
      <c r="R128" s="130">
        <v>280</v>
      </c>
      <c r="S128" s="126">
        <f>S73-S17</f>
        <v>0</v>
      </c>
    </row>
    <row r="129" spans="1:19" ht="21.75" customHeight="1">
      <c r="A129" s="97">
        <v>2</v>
      </c>
      <c r="B129" s="93" t="s">
        <v>158</v>
      </c>
      <c r="C129" s="126">
        <f t="shared" si="11"/>
        <v>7</v>
      </c>
      <c r="D129" s="126">
        <f aca="true" t="shared" si="24" ref="D129:O129">D74-D18</f>
        <v>1</v>
      </c>
      <c r="E129" s="126">
        <f t="shared" si="24"/>
        <v>0</v>
      </c>
      <c r="F129" s="126">
        <f t="shared" si="24"/>
        <v>0</v>
      </c>
      <c r="G129" s="126">
        <f t="shared" si="24"/>
        <v>4</v>
      </c>
      <c r="H129" s="126">
        <f t="shared" si="24"/>
        <v>0</v>
      </c>
      <c r="I129" s="126">
        <f t="shared" si="24"/>
        <v>0</v>
      </c>
      <c r="J129" s="126">
        <f t="shared" si="24"/>
        <v>0</v>
      </c>
      <c r="K129" s="126">
        <f t="shared" si="24"/>
        <v>1</v>
      </c>
      <c r="L129" s="126">
        <f t="shared" si="24"/>
        <v>1</v>
      </c>
      <c r="M129" s="126">
        <f t="shared" si="24"/>
        <v>0</v>
      </c>
      <c r="N129" s="126">
        <f t="shared" si="24"/>
        <v>0</v>
      </c>
      <c r="O129" s="126">
        <f t="shared" si="24"/>
        <v>0</v>
      </c>
      <c r="P129" s="194"/>
      <c r="Q129" s="126">
        <f>Q74-Q18</f>
        <v>0</v>
      </c>
      <c r="R129" s="194">
        <v>348</v>
      </c>
      <c r="S129" s="126">
        <f>S74-S18</f>
        <v>0</v>
      </c>
    </row>
    <row r="130" spans="1:19" ht="21.75" customHeight="1">
      <c r="A130" s="97">
        <v>3</v>
      </c>
      <c r="B130" s="93" t="s">
        <v>157</v>
      </c>
      <c r="C130" s="126">
        <f t="shared" si="11"/>
        <v>6.200000000000003</v>
      </c>
      <c r="D130" s="126">
        <f aca="true" t="shared" si="25" ref="D130:O130">D75-D19</f>
        <v>1</v>
      </c>
      <c r="E130" s="126">
        <f t="shared" si="25"/>
        <v>0</v>
      </c>
      <c r="F130" s="126">
        <f t="shared" si="25"/>
        <v>0</v>
      </c>
      <c r="G130" s="126">
        <f t="shared" si="25"/>
        <v>4.200000000000003</v>
      </c>
      <c r="H130" s="126">
        <f t="shared" si="25"/>
        <v>0</v>
      </c>
      <c r="I130" s="126">
        <f t="shared" si="25"/>
        <v>0</v>
      </c>
      <c r="J130" s="126">
        <f t="shared" si="25"/>
        <v>0</v>
      </c>
      <c r="K130" s="126">
        <f t="shared" si="25"/>
        <v>1</v>
      </c>
      <c r="L130" s="126">
        <f t="shared" si="25"/>
        <v>0</v>
      </c>
      <c r="M130" s="126">
        <f t="shared" si="25"/>
        <v>0</v>
      </c>
      <c r="N130" s="126">
        <f t="shared" si="25"/>
        <v>0</v>
      </c>
      <c r="O130" s="126">
        <f t="shared" si="25"/>
        <v>0</v>
      </c>
      <c r="P130" s="194"/>
      <c r="Q130" s="126">
        <f>Q75-Q19</f>
        <v>0</v>
      </c>
      <c r="R130" s="194">
        <v>403</v>
      </c>
      <c r="S130" s="126">
        <f>S75-S19</f>
        <v>0</v>
      </c>
    </row>
    <row r="131" spans="1:19" ht="21.75" customHeight="1">
      <c r="A131" s="97">
        <v>4</v>
      </c>
      <c r="B131" s="93" t="s">
        <v>236</v>
      </c>
      <c r="C131" s="126">
        <f t="shared" si="11"/>
        <v>9.600000000000001</v>
      </c>
      <c r="D131" s="126">
        <f aca="true" t="shared" si="26" ref="D131:O131">D76-D20</f>
        <v>0</v>
      </c>
      <c r="E131" s="126">
        <f t="shared" si="26"/>
        <v>0</v>
      </c>
      <c r="F131" s="126">
        <f t="shared" si="26"/>
        <v>3</v>
      </c>
      <c r="G131" s="126">
        <f t="shared" si="26"/>
        <v>3.6000000000000014</v>
      </c>
      <c r="H131" s="126">
        <f t="shared" si="26"/>
        <v>0</v>
      </c>
      <c r="I131" s="126">
        <f t="shared" si="26"/>
        <v>1</v>
      </c>
      <c r="J131" s="126">
        <f t="shared" si="26"/>
        <v>0</v>
      </c>
      <c r="K131" s="126">
        <f t="shared" si="26"/>
        <v>1</v>
      </c>
      <c r="L131" s="126">
        <f t="shared" si="26"/>
        <v>1</v>
      </c>
      <c r="M131" s="126">
        <f t="shared" si="26"/>
        <v>0</v>
      </c>
      <c r="N131" s="126">
        <f t="shared" si="26"/>
        <v>0</v>
      </c>
      <c r="O131" s="126">
        <f t="shared" si="26"/>
        <v>0</v>
      </c>
      <c r="P131" s="201">
        <v>416</v>
      </c>
      <c r="Q131" s="126">
        <f>Q76-Q20</f>
        <v>-5</v>
      </c>
      <c r="R131" s="201">
        <v>319</v>
      </c>
      <c r="S131" s="126">
        <f>S76-S20</f>
        <v>-2</v>
      </c>
    </row>
    <row r="132" spans="1:19" ht="21.75" customHeight="1">
      <c r="A132" s="97">
        <v>5</v>
      </c>
      <c r="B132" s="93" t="s">
        <v>166</v>
      </c>
      <c r="C132" s="126">
        <f t="shared" si="11"/>
        <v>5.1</v>
      </c>
      <c r="D132" s="126">
        <f aca="true" t="shared" si="27" ref="D132:O132">D77-D21</f>
        <v>0</v>
      </c>
      <c r="E132" s="126">
        <f t="shared" si="27"/>
        <v>0</v>
      </c>
      <c r="F132" s="126">
        <f t="shared" si="27"/>
        <v>-0.40000000000000036</v>
      </c>
      <c r="G132" s="126">
        <f t="shared" si="27"/>
        <v>3.5</v>
      </c>
      <c r="H132" s="126">
        <f t="shared" si="27"/>
        <v>0</v>
      </c>
      <c r="I132" s="126">
        <f t="shared" si="27"/>
        <v>1</v>
      </c>
      <c r="J132" s="126">
        <f t="shared" si="27"/>
        <v>0</v>
      </c>
      <c r="K132" s="126">
        <f t="shared" si="27"/>
        <v>1</v>
      </c>
      <c r="L132" s="126">
        <f t="shared" si="27"/>
        <v>0</v>
      </c>
      <c r="M132" s="126">
        <f t="shared" si="27"/>
        <v>0</v>
      </c>
      <c r="N132" s="126">
        <f t="shared" si="27"/>
        <v>0</v>
      </c>
      <c r="O132" s="126">
        <f t="shared" si="27"/>
        <v>0</v>
      </c>
      <c r="P132" s="201">
        <v>210</v>
      </c>
      <c r="Q132" s="126">
        <f>Q77-Q21</f>
        <v>-5</v>
      </c>
      <c r="R132" s="201">
        <v>194</v>
      </c>
      <c r="S132" s="126">
        <f>S77-S21</f>
        <v>-2</v>
      </c>
    </row>
    <row r="133" spans="1:19" ht="21.75" customHeight="1">
      <c r="A133" s="97">
        <v>6</v>
      </c>
      <c r="B133" s="93" t="s">
        <v>167</v>
      </c>
      <c r="C133" s="126">
        <f t="shared" si="11"/>
        <v>5</v>
      </c>
      <c r="D133" s="126">
        <f aca="true" t="shared" si="28" ref="D133:O133">D78-D22</f>
        <v>0</v>
      </c>
      <c r="E133" s="126">
        <f t="shared" si="28"/>
        <v>0</v>
      </c>
      <c r="F133" s="126">
        <f t="shared" si="28"/>
        <v>4</v>
      </c>
      <c r="G133" s="126">
        <f t="shared" si="28"/>
        <v>0</v>
      </c>
      <c r="H133" s="126">
        <f t="shared" si="28"/>
        <v>0</v>
      </c>
      <c r="I133" s="126">
        <f t="shared" si="28"/>
        <v>0</v>
      </c>
      <c r="J133" s="126">
        <f t="shared" si="28"/>
        <v>0</v>
      </c>
      <c r="K133" s="126">
        <f t="shared" si="28"/>
        <v>0</v>
      </c>
      <c r="L133" s="126">
        <f t="shared" si="28"/>
        <v>1</v>
      </c>
      <c r="M133" s="126">
        <f t="shared" si="28"/>
        <v>0</v>
      </c>
      <c r="N133" s="126">
        <f t="shared" si="28"/>
        <v>0</v>
      </c>
      <c r="O133" s="126">
        <f t="shared" si="28"/>
        <v>0</v>
      </c>
      <c r="P133" s="194">
        <v>311</v>
      </c>
      <c r="Q133" s="126">
        <f>Q78-Q22</f>
        <v>-4</v>
      </c>
      <c r="R133" s="194">
        <v>238</v>
      </c>
      <c r="S133" s="126">
        <f>S78-S22</f>
        <v>-1</v>
      </c>
    </row>
    <row r="134" spans="1:19" ht="21.75" customHeight="1">
      <c r="A134" s="97">
        <v>7</v>
      </c>
      <c r="B134" s="93" t="s">
        <v>168</v>
      </c>
      <c r="C134" s="126">
        <f t="shared" si="11"/>
        <v>1.2999999999999972</v>
      </c>
      <c r="D134" s="126">
        <f aca="true" t="shared" si="29" ref="D134:O134">D79-D23</f>
        <v>1</v>
      </c>
      <c r="E134" s="126">
        <f t="shared" si="29"/>
        <v>0</v>
      </c>
      <c r="F134" s="126">
        <f t="shared" si="29"/>
        <v>0</v>
      </c>
      <c r="G134" s="126">
        <f t="shared" si="29"/>
        <v>-0.7000000000000028</v>
      </c>
      <c r="H134" s="126">
        <f t="shared" si="29"/>
        <v>0</v>
      </c>
      <c r="I134" s="126">
        <f t="shared" si="29"/>
        <v>0</v>
      </c>
      <c r="J134" s="126">
        <f t="shared" si="29"/>
        <v>0</v>
      </c>
      <c r="K134" s="126">
        <f t="shared" si="29"/>
        <v>0</v>
      </c>
      <c r="L134" s="126">
        <f t="shared" si="29"/>
        <v>0</v>
      </c>
      <c r="M134" s="126">
        <f t="shared" si="29"/>
        <v>1</v>
      </c>
      <c r="N134" s="126">
        <f t="shared" si="29"/>
        <v>0</v>
      </c>
      <c r="O134" s="126">
        <f t="shared" si="29"/>
        <v>0</v>
      </c>
      <c r="P134" s="194"/>
      <c r="Q134" s="126">
        <f>Q79-Q23</f>
        <v>0</v>
      </c>
      <c r="R134" s="194">
        <v>562</v>
      </c>
      <c r="S134" s="126">
        <f>S79-S23</f>
        <v>0</v>
      </c>
    </row>
    <row r="135" spans="1:19" ht="21.75" customHeight="1">
      <c r="A135" s="97">
        <v>8</v>
      </c>
      <c r="B135" s="93" t="s">
        <v>169</v>
      </c>
      <c r="C135" s="126">
        <f t="shared" si="11"/>
        <v>3</v>
      </c>
      <c r="D135" s="126">
        <f aca="true" t="shared" si="30" ref="D135:O135">D80-D24</f>
        <v>1</v>
      </c>
      <c r="E135" s="126">
        <f t="shared" si="30"/>
        <v>0</v>
      </c>
      <c r="F135" s="126">
        <f t="shared" si="30"/>
        <v>0</v>
      </c>
      <c r="G135" s="126">
        <f t="shared" si="30"/>
        <v>0</v>
      </c>
      <c r="H135" s="126">
        <f t="shared" si="30"/>
        <v>0</v>
      </c>
      <c r="I135" s="126">
        <f t="shared" si="30"/>
        <v>1</v>
      </c>
      <c r="J135" s="126">
        <f t="shared" si="30"/>
        <v>0</v>
      </c>
      <c r="K135" s="126">
        <f t="shared" si="30"/>
        <v>0</v>
      </c>
      <c r="L135" s="126">
        <f t="shared" si="30"/>
        <v>0</v>
      </c>
      <c r="M135" s="126">
        <f t="shared" si="30"/>
        <v>1</v>
      </c>
      <c r="N135" s="126">
        <f t="shared" si="30"/>
        <v>0</v>
      </c>
      <c r="O135" s="126">
        <f t="shared" si="30"/>
        <v>0</v>
      </c>
      <c r="P135" s="194"/>
      <c r="Q135" s="126">
        <f>Q80-Q24</f>
        <v>0</v>
      </c>
      <c r="R135" s="194">
        <v>317</v>
      </c>
      <c r="S135" s="126">
        <f>S80-S24</f>
        <v>0</v>
      </c>
    </row>
    <row r="136" spans="1:19" ht="21.75" customHeight="1">
      <c r="A136" s="97">
        <v>9</v>
      </c>
      <c r="B136" s="93" t="s">
        <v>170</v>
      </c>
      <c r="C136" s="126">
        <f t="shared" si="11"/>
        <v>-0.20000000000000107</v>
      </c>
      <c r="D136" s="126">
        <f aca="true" t="shared" si="31" ref="D136:O136">D81-D25</f>
        <v>0</v>
      </c>
      <c r="E136" s="126">
        <f t="shared" si="31"/>
        <v>0</v>
      </c>
      <c r="F136" s="126">
        <f t="shared" si="31"/>
        <v>-2.8000000000000007</v>
      </c>
      <c r="G136" s="126">
        <f t="shared" si="31"/>
        <v>-0.40000000000000036</v>
      </c>
      <c r="H136" s="126">
        <f t="shared" si="31"/>
        <v>0</v>
      </c>
      <c r="I136" s="126">
        <f t="shared" si="31"/>
        <v>0</v>
      </c>
      <c r="J136" s="126">
        <f t="shared" si="31"/>
        <v>0</v>
      </c>
      <c r="K136" s="126">
        <f t="shared" si="31"/>
        <v>1</v>
      </c>
      <c r="L136" s="126">
        <f t="shared" si="31"/>
        <v>1</v>
      </c>
      <c r="M136" s="126">
        <f t="shared" si="31"/>
        <v>1</v>
      </c>
      <c r="N136" s="126">
        <f t="shared" si="31"/>
        <v>0</v>
      </c>
      <c r="O136" s="126">
        <f t="shared" si="31"/>
        <v>0</v>
      </c>
      <c r="P136" s="194">
        <v>150</v>
      </c>
      <c r="Q136" s="126">
        <f>Q81-Q25</f>
        <v>0</v>
      </c>
      <c r="R136" s="194">
        <v>109</v>
      </c>
      <c r="S136" s="126">
        <f>S81-S25</f>
        <v>0</v>
      </c>
    </row>
    <row r="137" spans="1:19" ht="21.75" customHeight="1">
      <c r="A137" s="82" t="s">
        <v>208</v>
      </c>
      <c r="B137" s="10" t="s">
        <v>180</v>
      </c>
      <c r="C137" s="126">
        <f>SUM(D137:O137)</f>
        <v>0</v>
      </c>
      <c r="D137" s="126">
        <f aca="true" t="shared" si="32" ref="D137:O137">D82-D26</f>
        <v>0</v>
      </c>
      <c r="E137" s="126">
        <f t="shared" si="32"/>
        <v>0</v>
      </c>
      <c r="F137" s="126">
        <f t="shared" si="32"/>
        <v>0</v>
      </c>
      <c r="G137" s="126">
        <f t="shared" si="32"/>
        <v>0</v>
      </c>
      <c r="H137" s="126">
        <f t="shared" si="32"/>
        <v>0</v>
      </c>
      <c r="I137" s="126">
        <f t="shared" si="32"/>
        <v>0</v>
      </c>
      <c r="J137" s="126">
        <f t="shared" si="32"/>
        <v>0</v>
      </c>
      <c r="K137" s="126">
        <f t="shared" si="32"/>
        <v>0</v>
      </c>
      <c r="L137" s="126">
        <f t="shared" si="32"/>
        <v>0</v>
      </c>
      <c r="M137" s="126">
        <f t="shared" si="32"/>
        <v>0</v>
      </c>
      <c r="N137" s="126">
        <f t="shared" si="32"/>
        <v>0</v>
      </c>
      <c r="O137" s="126">
        <f t="shared" si="32"/>
        <v>0</v>
      </c>
      <c r="P137" s="130"/>
      <c r="Q137" s="126">
        <f>Q82-Q26</f>
        <v>0</v>
      </c>
      <c r="R137" s="130"/>
      <c r="S137" s="126">
        <f>S82-S26</f>
        <v>0</v>
      </c>
    </row>
    <row r="138" spans="1:19" ht="21.75" customHeight="1">
      <c r="A138" s="97">
        <v>1</v>
      </c>
      <c r="B138" s="93" t="s">
        <v>173</v>
      </c>
      <c r="C138" s="126">
        <f aca="true" t="shared" si="33" ref="C138:C146">SUM(D138:O138)</f>
        <v>1.6000000000000014</v>
      </c>
      <c r="D138" s="126">
        <f aca="true" t="shared" si="34" ref="D138:O138">D83-D27</f>
        <v>0</v>
      </c>
      <c r="E138" s="126">
        <f t="shared" si="34"/>
        <v>0</v>
      </c>
      <c r="F138" s="126">
        <f t="shared" si="34"/>
        <v>0</v>
      </c>
      <c r="G138" s="126">
        <f t="shared" si="34"/>
        <v>-0.3999999999999986</v>
      </c>
      <c r="H138" s="126">
        <f t="shared" si="34"/>
        <v>0</v>
      </c>
      <c r="I138" s="126">
        <f t="shared" si="34"/>
        <v>0</v>
      </c>
      <c r="J138" s="126">
        <f t="shared" si="34"/>
        <v>0</v>
      </c>
      <c r="K138" s="126">
        <f t="shared" si="34"/>
        <v>0</v>
      </c>
      <c r="L138" s="126">
        <f t="shared" si="34"/>
        <v>1</v>
      </c>
      <c r="M138" s="126">
        <f t="shared" si="34"/>
        <v>0</v>
      </c>
      <c r="N138" s="126">
        <f t="shared" si="34"/>
        <v>0</v>
      </c>
      <c r="O138" s="126">
        <f t="shared" si="34"/>
        <v>1</v>
      </c>
      <c r="P138" s="127"/>
      <c r="Q138" s="126">
        <f>Q83-Q27</f>
        <v>0</v>
      </c>
      <c r="R138" s="173">
        <v>273</v>
      </c>
      <c r="S138" s="126">
        <f>S83-S27</f>
        <v>0</v>
      </c>
    </row>
    <row r="139" spans="1:19" ht="21.75" customHeight="1">
      <c r="A139" s="97">
        <v>2</v>
      </c>
      <c r="B139" s="102" t="s">
        <v>217</v>
      </c>
      <c r="C139" s="126">
        <f t="shared" si="33"/>
        <v>3.400000000000002</v>
      </c>
      <c r="D139" s="126">
        <f aca="true" t="shared" si="35" ref="D139:O139">D84-D28</f>
        <v>0</v>
      </c>
      <c r="E139" s="126">
        <f t="shared" si="35"/>
        <v>0</v>
      </c>
      <c r="F139" s="126">
        <f t="shared" si="35"/>
        <v>0</v>
      </c>
      <c r="G139" s="126">
        <f t="shared" si="35"/>
        <v>3.400000000000002</v>
      </c>
      <c r="H139" s="126">
        <f t="shared" si="35"/>
        <v>0</v>
      </c>
      <c r="I139" s="126">
        <f t="shared" si="35"/>
        <v>0</v>
      </c>
      <c r="J139" s="126">
        <f t="shared" si="35"/>
        <v>0</v>
      </c>
      <c r="K139" s="126">
        <f t="shared" si="35"/>
        <v>0</v>
      </c>
      <c r="L139" s="126">
        <f t="shared" si="35"/>
        <v>0</v>
      </c>
      <c r="M139" s="126">
        <f t="shared" si="35"/>
        <v>0</v>
      </c>
      <c r="N139" s="126">
        <f t="shared" si="35"/>
        <v>0</v>
      </c>
      <c r="O139" s="126">
        <f t="shared" si="35"/>
        <v>0</v>
      </c>
      <c r="P139" s="203">
        <v>0</v>
      </c>
      <c r="Q139" s="126">
        <f>Q84-Q28</f>
        <v>0</v>
      </c>
      <c r="R139" s="203">
        <v>391</v>
      </c>
      <c r="S139" s="126">
        <f>S84-S28</f>
        <v>0</v>
      </c>
    </row>
    <row r="140" spans="1:19" ht="21.75" customHeight="1">
      <c r="A140" s="97">
        <v>3</v>
      </c>
      <c r="B140" s="102" t="s">
        <v>218</v>
      </c>
      <c r="C140" s="126">
        <f t="shared" si="33"/>
        <v>9.200000000000001</v>
      </c>
      <c r="D140" s="126">
        <f aca="true" t="shared" si="36" ref="D140:O140">D85-D29</f>
        <v>0</v>
      </c>
      <c r="E140" s="126">
        <f t="shared" si="36"/>
        <v>0</v>
      </c>
      <c r="F140" s="126">
        <f t="shared" si="36"/>
        <v>6</v>
      </c>
      <c r="G140" s="126">
        <f t="shared" si="36"/>
        <v>2.200000000000001</v>
      </c>
      <c r="H140" s="126">
        <f t="shared" si="36"/>
        <v>1</v>
      </c>
      <c r="I140" s="126">
        <f t="shared" si="36"/>
        <v>0</v>
      </c>
      <c r="J140" s="126">
        <f t="shared" si="36"/>
        <v>0</v>
      </c>
      <c r="K140" s="126">
        <f t="shared" si="36"/>
        <v>0</v>
      </c>
      <c r="L140" s="126">
        <f t="shared" si="36"/>
        <v>0</v>
      </c>
      <c r="M140" s="126">
        <f t="shared" si="36"/>
        <v>0</v>
      </c>
      <c r="N140" s="126">
        <f t="shared" si="36"/>
        <v>0</v>
      </c>
      <c r="O140" s="126">
        <f t="shared" si="36"/>
        <v>0</v>
      </c>
      <c r="P140" s="173">
        <v>226</v>
      </c>
      <c r="Q140" s="126">
        <f>Q85-Q29</f>
        <v>-7</v>
      </c>
      <c r="R140" s="173">
        <v>169</v>
      </c>
      <c r="S140" s="126">
        <f>S85-S29</f>
        <v>0</v>
      </c>
    </row>
    <row r="141" spans="1:19" ht="21.75" customHeight="1">
      <c r="A141" s="97">
        <v>4</v>
      </c>
      <c r="B141" s="102" t="s">
        <v>219</v>
      </c>
      <c r="C141" s="126">
        <f t="shared" si="33"/>
        <v>5.300000000000001</v>
      </c>
      <c r="D141" s="126">
        <f aca="true" t="shared" si="37" ref="D141:O141">D86-D30</f>
        <v>0</v>
      </c>
      <c r="E141" s="126">
        <f t="shared" si="37"/>
        <v>0</v>
      </c>
      <c r="F141" s="126">
        <f t="shared" si="37"/>
        <v>4.5</v>
      </c>
      <c r="G141" s="126">
        <f t="shared" si="37"/>
        <v>-1.1999999999999993</v>
      </c>
      <c r="H141" s="126">
        <f t="shared" si="37"/>
        <v>0</v>
      </c>
      <c r="I141" s="126">
        <f t="shared" si="37"/>
        <v>1</v>
      </c>
      <c r="J141" s="126">
        <f t="shared" si="37"/>
        <v>0</v>
      </c>
      <c r="K141" s="126">
        <f t="shared" si="37"/>
        <v>0</v>
      </c>
      <c r="L141" s="126">
        <f t="shared" si="37"/>
        <v>0</v>
      </c>
      <c r="M141" s="126">
        <f t="shared" si="37"/>
        <v>1</v>
      </c>
      <c r="N141" s="126">
        <f t="shared" si="37"/>
        <v>0</v>
      </c>
      <c r="O141" s="126">
        <f t="shared" si="37"/>
        <v>0</v>
      </c>
      <c r="P141" s="205">
        <v>168</v>
      </c>
      <c r="Q141" s="126">
        <f>Q86-Q30</f>
        <v>-5</v>
      </c>
      <c r="R141" s="205">
        <v>133</v>
      </c>
      <c r="S141" s="126">
        <f>S86-S30</f>
        <v>0</v>
      </c>
    </row>
    <row r="142" spans="1:19" ht="21.75" customHeight="1">
      <c r="A142" s="97">
        <v>5</v>
      </c>
      <c r="B142" s="102" t="s">
        <v>220</v>
      </c>
      <c r="C142" s="126">
        <f t="shared" si="33"/>
        <v>5.100000000000001</v>
      </c>
      <c r="D142" s="126">
        <f aca="true" t="shared" si="38" ref="D142:O142">D87-D31</f>
        <v>0</v>
      </c>
      <c r="E142" s="126">
        <f t="shared" si="38"/>
        <v>0</v>
      </c>
      <c r="F142" s="126">
        <f t="shared" si="38"/>
        <v>4.5</v>
      </c>
      <c r="G142" s="126">
        <f t="shared" si="38"/>
        <v>0.6000000000000014</v>
      </c>
      <c r="H142" s="126">
        <f t="shared" si="38"/>
        <v>0</v>
      </c>
      <c r="I142" s="126">
        <f t="shared" si="38"/>
        <v>0</v>
      </c>
      <c r="J142" s="126">
        <f t="shared" si="38"/>
        <v>0</v>
      </c>
      <c r="K142" s="126">
        <f t="shared" si="38"/>
        <v>0</v>
      </c>
      <c r="L142" s="126">
        <f t="shared" si="38"/>
        <v>0</v>
      </c>
      <c r="M142" s="126">
        <f t="shared" si="38"/>
        <v>0</v>
      </c>
      <c r="N142" s="126">
        <f t="shared" si="38"/>
        <v>0</v>
      </c>
      <c r="O142" s="126">
        <f t="shared" si="38"/>
        <v>0</v>
      </c>
      <c r="P142" s="205">
        <v>476</v>
      </c>
      <c r="Q142" s="126">
        <f>Q87-Q31</f>
        <v>-4</v>
      </c>
      <c r="R142" s="205">
        <v>267</v>
      </c>
      <c r="S142" s="126">
        <f>S87-S31</f>
        <v>0</v>
      </c>
    </row>
    <row r="143" spans="1:19" ht="21.75" customHeight="1">
      <c r="A143" s="97">
        <v>6</v>
      </c>
      <c r="B143" s="102" t="s">
        <v>237</v>
      </c>
      <c r="C143" s="126">
        <f t="shared" si="33"/>
        <v>5.400000000000002</v>
      </c>
      <c r="D143" s="126">
        <f aca="true" t="shared" si="39" ref="D143:O143">D88-D32</f>
        <v>0</v>
      </c>
      <c r="E143" s="126">
        <f t="shared" si="39"/>
        <v>0</v>
      </c>
      <c r="F143" s="126">
        <f t="shared" si="39"/>
        <v>0</v>
      </c>
      <c r="G143" s="126">
        <f t="shared" si="39"/>
        <v>3.400000000000002</v>
      </c>
      <c r="H143" s="126">
        <f t="shared" si="39"/>
        <v>0</v>
      </c>
      <c r="I143" s="126">
        <f t="shared" si="39"/>
        <v>1</v>
      </c>
      <c r="J143" s="126">
        <f t="shared" si="39"/>
        <v>0</v>
      </c>
      <c r="K143" s="126">
        <f t="shared" si="39"/>
        <v>0</v>
      </c>
      <c r="L143" s="126">
        <f t="shared" si="39"/>
        <v>0</v>
      </c>
      <c r="M143" s="126">
        <f t="shared" si="39"/>
        <v>1</v>
      </c>
      <c r="N143" s="126">
        <f t="shared" si="39"/>
        <v>0</v>
      </c>
      <c r="O143" s="126">
        <f t="shared" si="39"/>
        <v>0</v>
      </c>
      <c r="P143" s="173"/>
      <c r="Q143" s="126">
        <f>Q88-Q32</f>
        <v>0</v>
      </c>
      <c r="R143" s="173">
        <v>228</v>
      </c>
      <c r="S143" s="126">
        <f>S88-S32</f>
        <v>0</v>
      </c>
    </row>
    <row r="144" spans="1:19" ht="21.75" customHeight="1">
      <c r="A144" s="97">
        <v>7</v>
      </c>
      <c r="B144" s="102" t="s">
        <v>238</v>
      </c>
      <c r="C144" s="126">
        <f t="shared" si="33"/>
        <v>10.3</v>
      </c>
      <c r="D144" s="126">
        <f aca="true" t="shared" si="40" ref="D144:O144">D89-D33</f>
        <v>0</v>
      </c>
      <c r="E144" s="126">
        <f t="shared" si="40"/>
        <v>0</v>
      </c>
      <c r="F144" s="126">
        <f t="shared" si="40"/>
        <v>2.5</v>
      </c>
      <c r="G144" s="126">
        <f t="shared" si="40"/>
        <v>4.800000000000001</v>
      </c>
      <c r="H144" s="126">
        <f t="shared" si="40"/>
        <v>1</v>
      </c>
      <c r="I144" s="126">
        <f t="shared" si="40"/>
        <v>1</v>
      </c>
      <c r="J144" s="126">
        <f t="shared" si="40"/>
        <v>0</v>
      </c>
      <c r="K144" s="126">
        <f t="shared" si="40"/>
        <v>0</v>
      </c>
      <c r="L144" s="126">
        <f t="shared" si="40"/>
        <v>0</v>
      </c>
      <c r="M144" s="126">
        <f t="shared" si="40"/>
        <v>1</v>
      </c>
      <c r="N144" s="126">
        <f t="shared" si="40"/>
        <v>0</v>
      </c>
      <c r="O144" s="126">
        <f t="shared" si="40"/>
        <v>0</v>
      </c>
      <c r="P144" s="173">
        <v>559</v>
      </c>
      <c r="Q144" s="126">
        <f>Q89-Q33</f>
        <v>-13</v>
      </c>
      <c r="R144" s="173">
        <v>349</v>
      </c>
      <c r="S144" s="126">
        <f>S89-S33</f>
        <v>-1</v>
      </c>
    </row>
    <row r="145" spans="1:19" ht="21.75" customHeight="1">
      <c r="A145" s="97">
        <v>8</v>
      </c>
      <c r="B145" s="102" t="s">
        <v>239</v>
      </c>
      <c r="C145" s="126">
        <f t="shared" si="33"/>
        <v>3.6000000000000014</v>
      </c>
      <c r="D145" s="126">
        <f aca="true" t="shared" si="41" ref="D145:O145">D90-D34</f>
        <v>0</v>
      </c>
      <c r="E145" s="126">
        <f t="shared" si="41"/>
        <v>0</v>
      </c>
      <c r="F145" s="126">
        <f t="shared" si="41"/>
        <v>0</v>
      </c>
      <c r="G145" s="126">
        <f t="shared" si="41"/>
        <v>2.6000000000000014</v>
      </c>
      <c r="H145" s="126">
        <f t="shared" si="41"/>
        <v>0</v>
      </c>
      <c r="I145" s="126">
        <f t="shared" si="41"/>
        <v>0</v>
      </c>
      <c r="J145" s="126">
        <f t="shared" si="41"/>
        <v>0</v>
      </c>
      <c r="K145" s="126">
        <f t="shared" si="41"/>
        <v>0</v>
      </c>
      <c r="L145" s="126">
        <f t="shared" si="41"/>
        <v>0</v>
      </c>
      <c r="M145" s="126">
        <f t="shared" si="41"/>
        <v>1</v>
      </c>
      <c r="N145" s="126">
        <f t="shared" si="41"/>
        <v>0</v>
      </c>
      <c r="O145" s="126">
        <f t="shared" si="41"/>
        <v>0</v>
      </c>
      <c r="P145" s="173"/>
      <c r="Q145" s="126">
        <f>Q90-Q34</f>
        <v>0</v>
      </c>
      <c r="R145" s="173">
        <v>279</v>
      </c>
      <c r="S145" s="126">
        <f>S90-S34</f>
        <v>0</v>
      </c>
    </row>
    <row r="146" spans="1:19" ht="21.75" customHeight="1">
      <c r="A146" s="97">
        <v>9</v>
      </c>
      <c r="B146" s="102" t="s">
        <v>240</v>
      </c>
      <c r="C146" s="126">
        <f t="shared" si="33"/>
        <v>5.200000000000003</v>
      </c>
      <c r="D146" s="126">
        <f aca="true" t="shared" si="42" ref="D146:O146">D91-D35</f>
        <v>0</v>
      </c>
      <c r="E146" s="126">
        <f t="shared" si="42"/>
        <v>0</v>
      </c>
      <c r="F146" s="126">
        <f t="shared" si="42"/>
        <v>0</v>
      </c>
      <c r="G146" s="126">
        <f t="shared" si="42"/>
        <v>4.200000000000003</v>
      </c>
      <c r="H146" s="126">
        <f t="shared" si="42"/>
        <v>0</v>
      </c>
      <c r="I146" s="126">
        <f t="shared" si="42"/>
        <v>0</v>
      </c>
      <c r="J146" s="126">
        <f t="shared" si="42"/>
        <v>0</v>
      </c>
      <c r="K146" s="126">
        <f t="shared" si="42"/>
        <v>0</v>
      </c>
      <c r="L146" s="126">
        <f t="shared" si="42"/>
        <v>0</v>
      </c>
      <c r="M146" s="126">
        <f t="shared" si="42"/>
        <v>1</v>
      </c>
      <c r="N146" s="126">
        <f t="shared" si="42"/>
        <v>0</v>
      </c>
      <c r="O146" s="126">
        <f t="shared" si="42"/>
        <v>0</v>
      </c>
      <c r="P146" s="173">
        <v>0</v>
      </c>
      <c r="Q146" s="126">
        <f>Q91-Q35</f>
        <v>0</v>
      </c>
      <c r="R146" s="173">
        <v>412</v>
      </c>
      <c r="S146" s="126">
        <f>S91-S35</f>
        <v>0</v>
      </c>
    </row>
    <row r="147" spans="1:19" ht="21.75" customHeight="1">
      <c r="A147" s="11"/>
      <c r="B147" s="124" t="s">
        <v>112</v>
      </c>
      <c r="C147" s="129">
        <f aca="true" t="shared" si="43" ref="C147:S147">SUM(C117:C146)</f>
        <v>111.70000000000003</v>
      </c>
      <c r="D147" s="129">
        <f t="shared" si="43"/>
        <v>8</v>
      </c>
      <c r="E147" s="129">
        <f t="shared" si="43"/>
        <v>4</v>
      </c>
      <c r="F147" s="129">
        <f t="shared" si="43"/>
        <v>13.299999999999999</v>
      </c>
      <c r="G147" s="129">
        <f t="shared" si="43"/>
        <v>34.40000000000002</v>
      </c>
      <c r="H147" s="129">
        <f t="shared" si="43"/>
        <v>5</v>
      </c>
      <c r="I147" s="129">
        <f t="shared" si="43"/>
        <v>12</v>
      </c>
      <c r="J147" s="129">
        <f t="shared" si="43"/>
        <v>1</v>
      </c>
      <c r="K147" s="129">
        <f t="shared" si="43"/>
        <v>5</v>
      </c>
      <c r="L147" s="129">
        <f t="shared" si="43"/>
        <v>11</v>
      </c>
      <c r="M147" s="129">
        <f t="shared" si="43"/>
        <v>13</v>
      </c>
      <c r="N147" s="129">
        <f t="shared" si="43"/>
        <v>0</v>
      </c>
      <c r="O147" s="129">
        <f t="shared" si="43"/>
        <v>5</v>
      </c>
      <c r="P147" s="129">
        <f t="shared" si="43"/>
        <v>3139</v>
      </c>
      <c r="Q147" s="129">
        <f t="shared" si="43"/>
        <v>-49</v>
      </c>
      <c r="R147" s="129">
        <f t="shared" si="43"/>
        <v>5948</v>
      </c>
      <c r="S147" s="129">
        <f t="shared" si="43"/>
        <v>-6</v>
      </c>
    </row>
  </sheetData>
  <sheetProtection/>
  <mergeCells count="36">
    <mergeCell ref="R114:R115"/>
    <mergeCell ref="S114:S115"/>
    <mergeCell ref="A114:A115"/>
    <mergeCell ref="B114:B115"/>
    <mergeCell ref="C114:C115"/>
    <mergeCell ref="D114:D115"/>
    <mergeCell ref="P114:P115"/>
    <mergeCell ref="Q114:Q115"/>
    <mergeCell ref="E59:E60"/>
    <mergeCell ref="F59:F60"/>
    <mergeCell ref="G59:G60"/>
    <mergeCell ref="H3:O3"/>
    <mergeCell ref="F3:F4"/>
    <mergeCell ref="E114:E115"/>
    <mergeCell ref="F114:F115"/>
    <mergeCell ref="G114:G115"/>
    <mergeCell ref="H114:O114"/>
    <mergeCell ref="R59:R60"/>
    <mergeCell ref="A3:A4"/>
    <mergeCell ref="B3:B4"/>
    <mergeCell ref="C3:C4"/>
    <mergeCell ref="D3:D4"/>
    <mergeCell ref="S3:S4"/>
    <mergeCell ref="A59:A60"/>
    <mergeCell ref="B59:B60"/>
    <mergeCell ref="C59:C60"/>
    <mergeCell ref="D59:D60"/>
    <mergeCell ref="S59:S60"/>
    <mergeCell ref="P3:P4"/>
    <mergeCell ref="H59:O59"/>
    <mergeCell ref="P59:P60"/>
    <mergeCell ref="Q59:Q60"/>
    <mergeCell ref="E3:E4"/>
    <mergeCell ref="R3:R4"/>
    <mergeCell ref="G3:G4"/>
    <mergeCell ref="Q3:Q4"/>
  </mergeCells>
  <printOptions/>
  <pageMargins left="0.5" right="0.5" top="0.75" bottom="0.5" header="0.5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.57421875" style="0" customWidth="1"/>
    <col min="2" max="2" width="25.00390625" style="0" customWidth="1"/>
    <col min="3" max="9" width="6.28125" style="0" customWidth="1"/>
    <col min="10" max="10" width="7.421875" style="0" customWidth="1"/>
    <col min="11" max="12" width="6.57421875" style="0" customWidth="1"/>
    <col min="13" max="17" width="7.421875" style="0" customWidth="1"/>
    <col min="18" max="18" width="8.28125" style="0" bestFit="1" customWidth="1"/>
  </cols>
  <sheetData>
    <row r="1" ht="15.75">
      <c r="A1" s="21" t="s">
        <v>266</v>
      </c>
    </row>
    <row r="3" ht="16.5">
      <c r="A3" s="7" t="s">
        <v>52</v>
      </c>
    </row>
    <row r="5" spans="1:18" ht="21.75" customHeight="1">
      <c r="A5" s="229" t="s">
        <v>10</v>
      </c>
      <c r="B5" s="229" t="s">
        <v>0</v>
      </c>
      <c r="C5" s="229" t="s">
        <v>42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8" ht="21.75" customHeight="1">
      <c r="A6" s="229"/>
      <c r="B6" s="229"/>
      <c r="C6" s="228" t="s">
        <v>63</v>
      </c>
      <c r="D6" s="228" t="s">
        <v>62</v>
      </c>
      <c r="E6" s="228" t="s">
        <v>207</v>
      </c>
      <c r="F6" s="228" t="s">
        <v>64</v>
      </c>
      <c r="G6" s="228" t="s">
        <v>65</v>
      </c>
      <c r="H6" s="228" t="s">
        <v>66</v>
      </c>
      <c r="I6" s="228" t="s">
        <v>67</v>
      </c>
      <c r="J6" s="228" t="s">
        <v>50</v>
      </c>
      <c r="K6" s="228" t="s">
        <v>68</v>
      </c>
      <c r="L6" s="228" t="s">
        <v>43</v>
      </c>
      <c r="M6" s="228" t="s">
        <v>51</v>
      </c>
      <c r="N6" s="228"/>
      <c r="O6" s="228"/>
      <c r="P6" s="228"/>
      <c r="Q6" s="228"/>
      <c r="R6" s="228"/>
    </row>
    <row r="7" spans="1:18" ht="38.25" customHeight="1">
      <c r="A7" s="229"/>
      <c r="B7" s="229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0" t="s">
        <v>44</v>
      </c>
      <c r="N7" s="20" t="s">
        <v>45</v>
      </c>
      <c r="O7" s="20" t="s">
        <v>46</v>
      </c>
      <c r="P7" s="20" t="s">
        <v>47</v>
      </c>
      <c r="Q7" s="20" t="s">
        <v>48</v>
      </c>
      <c r="R7" s="20" t="s">
        <v>49</v>
      </c>
    </row>
    <row r="8" spans="1:18" ht="16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</row>
    <row r="9" spans="1:18" ht="21.75" customHeight="1">
      <c r="A9" s="89">
        <v>1</v>
      </c>
      <c r="B9" s="64" t="s">
        <v>149</v>
      </c>
      <c r="C9" s="126">
        <v>1</v>
      </c>
      <c r="D9" s="126">
        <v>2</v>
      </c>
      <c r="E9" s="126">
        <v>1</v>
      </c>
      <c r="F9" s="126">
        <v>1</v>
      </c>
      <c r="G9" s="126">
        <v>1</v>
      </c>
      <c r="H9" s="126">
        <v>9</v>
      </c>
      <c r="I9" s="126">
        <v>3</v>
      </c>
      <c r="J9" s="126">
        <v>5</v>
      </c>
      <c r="K9" s="126">
        <v>1</v>
      </c>
      <c r="L9" s="126">
        <v>1</v>
      </c>
      <c r="M9" s="126">
        <v>640</v>
      </c>
      <c r="N9" s="126">
        <v>380</v>
      </c>
      <c r="O9" s="126">
        <v>150</v>
      </c>
      <c r="P9" s="126">
        <v>215</v>
      </c>
      <c r="Q9" s="126">
        <v>215</v>
      </c>
      <c r="R9" s="126">
        <v>1500</v>
      </c>
    </row>
    <row r="10" spans="1:18" ht="21.75" customHeight="1">
      <c r="A10" s="89">
        <v>2</v>
      </c>
      <c r="B10" s="64" t="s">
        <v>135</v>
      </c>
      <c r="C10" s="126">
        <v>1</v>
      </c>
      <c r="D10" s="126">
        <v>2</v>
      </c>
      <c r="E10" s="126">
        <v>1</v>
      </c>
      <c r="F10" s="126">
        <v>1</v>
      </c>
      <c r="G10" s="126">
        <v>1</v>
      </c>
      <c r="H10" s="126">
        <v>8</v>
      </c>
      <c r="I10" s="126">
        <v>4</v>
      </c>
      <c r="J10" s="126">
        <v>5</v>
      </c>
      <c r="K10" s="126">
        <v>1</v>
      </c>
      <c r="L10" s="126">
        <v>1</v>
      </c>
      <c r="M10" s="126">
        <v>600</v>
      </c>
      <c r="N10" s="126">
        <v>200</v>
      </c>
      <c r="O10" s="126">
        <v>100</v>
      </c>
      <c r="P10" s="126">
        <v>50</v>
      </c>
      <c r="Q10" s="126">
        <v>50</v>
      </c>
      <c r="R10" s="126">
        <v>800</v>
      </c>
    </row>
    <row r="11" spans="1:18" ht="21.75" customHeight="1">
      <c r="A11" s="89">
        <v>3</v>
      </c>
      <c r="B11" s="64" t="s">
        <v>146</v>
      </c>
      <c r="C11" s="126">
        <v>1</v>
      </c>
      <c r="D11" s="126">
        <v>2</v>
      </c>
      <c r="E11" s="126">
        <v>1</v>
      </c>
      <c r="F11" s="126">
        <v>1</v>
      </c>
      <c r="G11" s="126">
        <v>1</v>
      </c>
      <c r="H11" s="126">
        <v>6</v>
      </c>
      <c r="I11" s="126">
        <v>1</v>
      </c>
      <c r="J11" s="126">
        <v>3</v>
      </c>
      <c r="K11" s="126">
        <v>1</v>
      </c>
      <c r="L11" s="126">
        <v>1</v>
      </c>
      <c r="M11" s="126">
        <v>306</v>
      </c>
      <c r="N11" s="126">
        <v>70</v>
      </c>
      <c r="O11" s="126">
        <v>50</v>
      </c>
      <c r="P11" s="126">
        <v>20</v>
      </c>
      <c r="Q11" s="126">
        <v>114</v>
      </c>
      <c r="R11" s="126">
        <v>3000</v>
      </c>
    </row>
    <row r="12" spans="1:18" ht="21.75" customHeight="1">
      <c r="A12" s="89">
        <v>4</v>
      </c>
      <c r="B12" s="118" t="s">
        <v>163</v>
      </c>
      <c r="C12" s="126">
        <v>1</v>
      </c>
      <c r="D12" s="126">
        <v>2</v>
      </c>
      <c r="E12" s="126">
        <v>1</v>
      </c>
      <c r="F12" s="126">
        <v>1</v>
      </c>
      <c r="G12" s="126">
        <v>1</v>
      </c>
      <c r="H12" s="126">
        <v>8</v>
      </c>
      <c r="I12" s="126">
        <v>4</v>
      </c>
      <c r="J12" s="126">
        <v>5</v>
      </c>
      <c r="K12" s="126">
        <v>1</v>
      </c>
      <c r="L12" s="126">
        <v>1</v>
      </c>
      <c r="M12" s="126">
        <v>831</v>
      </c>
      <c r="N12" s="126">
        <v>257</v>
      </c>
      <c r="O12" s="126">
        <v>158</v>
      </c>
      <c r="P12" s="126">
        <v>138</v>
      </c>
      <c r="Q12" s="126">
        <v>158</v>
      </c>
      <c r="R12" s="126">
        <v>2000</v>
      </c>
    </row>
    <row r="13" spans="1:18" ht="21.75" customHeight="1">
      <c r="A13" s="89">
        <v>5</v>
      </c>
      <c r="B13" s="118" t="s">
        <v>173</v>
      </c>
      <c r="C13" s="126">
        <v>1</v>
      </c>
      <c r="D13" s="126">
        <v>2</v>
      </c>
      <c r="E13" s="126">
        <v>1</v>
      </c>
      <c r="F13" s="126">
        <v>1</v>
      </c>
      <c r="G13" s="126">
        <v>1</v>
      </c>
      <c r="H13" s="126">
        <v>8</v>
      </c>
      <c r="I13" s="126">
        <v>1</v>
      </c>
      <c r="J13" s="126">
        <v>4</v>
      </c>
      <c r="K13" s="126">
        <v>1</v>
      </c>
      <c r="L13" s="126">
        <v>1</v>
      </c>
      <c r="M13" s="126">
        <v>570</v>
      </c>
      <c r="N13" s="126">
        <v>350</v>
      </c>
      <c r="O13" s="126">
        <v>70</v>
      </c>
      <c r="P13" s="126">
        <v>24</v>
      </c>
      <c r="Q13" s="126">
        <v>12</v>
      </c>
      <c r="R13" s="126">
        <v>1235</v>
      </c>
    </row>
    <row r="14" spans="1:18" ht="21.75" customHeight="1">
      <c r="A14" s="89">
        <v>6</v>
      </c>
      <c r="B14" s="64" t="s">
        <v>136</v>
      </c>
      <c r="C14" s="126">
        <v>1</v>
      </c>
      <c r="D14" s="126">
        <v>1</v>
      </c>
      <c r="E14" s="126">
        <v>1</v>
      </c>
      <c r="F14" s="126">
        <v>1</v>
      </c>
      <c r="G14" s="126">
        <v>1</v>
      </c>
      <c r="H14" s="126">
        <v>15</v>
      </c>
      <c r="I14" s="126">
        <v>1</v>
      </c>
      <c r="J14" s="126">
        <v>1</v>
      </c>
      <c r="K14" s="126">
        <v>1</v>
      </c>
      <c r="L14" s="126">
        <v>1</v>
      </c>
      <c r="M14" s="126"/>
      <c r="N14" s="126"/>
      <c r="O14" s="126"/>
      <c r="P14" s="126"/>
      <c r="Q14" s="126"/>
      <c r="R14" s="126">
        <v>400</v>
      </c>
    </row>
    <row r="15" spans="1:18" ht="21.75" customHeight="1">
      <c r="A15" s="89">
        <v>7</v>
      </c>
      <c r="B15" s="118" t="s">
        <v>158</v>
      </c>
      <c r="C15" s="128">
        <v>1</v>
      </c>
      <c r="D15" s="128">
        <v>0</v>
      </c>
      <c r="E15" s="128">
        <v>1</v>
      </c>
      <c r="F15" s="128">
        <v>0</v>
      </c>
      <c r="G15" s="128">
        <v>0</v>
      </c>
      <c r="H15" s="128">
        <v>4</v>
      </c>
      <c r="I15" s="128">
        <v>0</v>
      </c>
      <c r="J15" s="128">
        <v>0</v>
      </c>
      <c r="K15" s="128">
        <v>0</v>
      </c>
      <c r="L15" s="128">
        <v>1</v>
      </c>
      <c r="M15" s="128">
        <v>231</v>
      </c>
      <c r="N15" s="128">
        <v>63</v>
      </c>
      <c r="O15" s="128">
        <v>0</v>
      </c>
      <c r="P15" s="128">
        <v>25</v>
      </c>
      <c r="Q15" s="128">
        <v>25</v>
      </c>
      <c r="R15" s="128">
        <v>1812</v>
      </c>
    </row>
    <row r="16" spans="1:18" ht="21.75" customHeight="1">
      <c r="A16" s="89">
        <v>8</v>
      </c>
      <c r="B16" s="118" t="s">
        <v>157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6</v>
      </c>
      <c r="I16" s="128">
        <v>0</v>
      </c>
      <c r="J16" s="128">
        <v>0</v>
      </c>
      <c r="K16" s="128">
        <v>0</v>
      </c>
      <c r="L16" s="128">
        <v>0</v>
      </c>
      <c r="M16" s="128">
        <v>100</v>
      </c>
      <c r="N16" s="128">
        <v>24</v>
      </c>
      <c r="O16" s="128">
        <v>12</v>
      </c>
      <c r="P16" s="128">
        <v>0</v>
      </c>
      <c r="Q16" s="128">
        <v>12</v>
      </c>
      <c r="R16" s="128">
        <v>0</v>
      </c>
    </row>
    <row r="17" spans="1:18" ht="21.75" customHeight="1">
      <c r="A17" s="89">
        <v>9</v>
      </c>
      <c r="B17" s="64" t="s">
        <v>176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6</v>
      </c>
      <c r="I17" s="126">
        <v>1</v>
      </c>
      <c r="J17" s="126">
        <v>0</v>
      </c>
      <c r="K17" s="126">
        <v>1</v>
      </c>
      <c r="L17" s="126">
        <v>1</v>
      </c>
      <c r="M17" s="126">
        <v>300</v>
      </c>
      <c r="N17" s="126">
        <v>0</v>
      </c>
      <c r="O17" s="126">
        <v>0</v>
      </c>
      <c r="P17" s="126">
        <v>0</v>
      </c>
      <c r="Q17" s="126">
        <v>0</v>
      </c>
      <c r="R17" s="126">
        <v>1260</v>
      </c>
    </row>
    <row r="18" spans="1:18" ht="21.75" customHeight="1">
      <c r="A18" s="89">
        <v>10</v>
      </c>
      <c r="B18" s="64" t="s">
        <v>177</v>
      </c>
      <c r="C18" s="126">
        <v>1</v>
      </c>
      <c r="D18" s="126">
        <v>1</v>
      </c>
      <c r="E18" s="126"/>
      <c r="F18" s="126"/>
      <c r="G18" s="126">
        <v>1</v>
      </c>
      <c r="H18" s="126">
        <v>16</v>
      </c>
      <c r="I18" s="126">
        <v>1</v>
      </c>
      <c r="J18" s="126">
        <v>0</v>
      </c>
      <c r="K18" s="126">
        <v>1</v>
      </c>
      <c r="L18" s="126">
        <v>0</v>
      </c>
      <c r="M18" s="126">
        <v>280</v>
      </c>
      <c r="N18" s="126"/>
      <c r="O18" s="126">
        <v>60</v>
      </c>
      <c r="P18" s="126"/>
      <c r="Q18" s="126">
        <v>20</v>
      </c>
      <c r="R18" s="126">
        <v>500</v>
      </c>
    </row>
    <row r="19" spans="1:18" ht="21.75" customHeight="1">
      <c r="A19" s="89">
        <v>11</v>
      </c>
      <c r="B19" s="64" t="s">
        <v>178</v>
      </c>
      <c r="C19" s="126">
        <v>1</v>
      </c>
      <c r="D19" s="126">
        <v>1</v>
      </c>
      <c r="E19" s="126">
        <v>1</v>
      </c>
      <c r="F19" s="126"/>
      <c r="G19" s="126">
        <v>1</v>
      </c>
      <c r="H19" s="126">
        <v>19</v>
      </c>
      <c r="I19" s="126">
        <v>1</v>
      </c>
      <c r="J19" s="126"/>
      <c r="K19" s="126">
        <v>1</v>
      </c>
      <c r="L19" s="126">
        <v>1</v>
      </c>
      <c r="M19" s="126">
        <v>48</v>
      </c>
      <c r="N19" s="126"/>
      <c r="O19" s="126"/>
      <c r="P19" s="126"/>
      <c r="Q19" s="126">
        <v>48</v>
      </c>
      <c r="R19" s="126">
        <v>1000</v>
      </c>
    </row>
    <row r="20" spans="1:18" ht="21.75" customHeight="1">
      <c r="A20" s="89">
        <v>12</v>
      </c>
      <c r="B20" s="64" t="s">
        <v>179</v>
      </c>
      <c r="C20" s="126">
        <v>1</v>
      </c>
      <c r="D20" s="126">
        <v>0</v>
      </c>
      <c r="E20" s="126">
        <v>1</v>
      </c>
      <c r="F20" s="126"/>
      <c r="G20" s="126"/>
      <c r="H20" s="126">
        <v>18</v>
      </c>
      <c r="I20" s="126">
        <v>1</v>
      </c>
      <c r="J20" s="126"/>
      <c r="K20" s="126">
        <v>1</v>
      </c>
      <c r="L20" s="126">
        <v>1</v>
      </c>
      <c r="M20" s="126"/>
      <c r="N20" s="126"/>
      <c r="O20" s="126"/>
      <c r="P20" s="126"/>
      <c r="Q20" s="126">
        <v>30</v>
      </c>
      <c r="R20" s="126">
        <v>1500</v>
      </c>
    </row>
    <row r="21" spans="1:18" ht="21.75" customHeight="1">
      <c r="A21" s="78"/>
      <c r="B21" s="103" t="s">
        <v>112</v>
      </c>
      <c r="C21" s="153">
        <f>SUM(C9:C20)</f>
        <v>10</v>
      </c>
      <c r="D21" s="153">
        <f aca="true" t="shared" si="0" ref="D21:R21">SUM(D9:D20)</f>
        <v>13</v>
      </c>
      <c r="E21" s="153">
        <f t="shared" si="0"/>
        <v>9</v>
      </c>
      <c r="F21" s="153">
        <f t="shared" si="0"/>
        <v>6</v>
      </c>
      <c r="G21" s="153">
        <f t="shared" si="0"/>
        <v>8</v>
      </c>
      <c r="H21" s="153">
        <f t="shared" si="0"/>
        <v>123</v>
      </c>
      <c r="I21" s="153">
        <f t="shared" si="0"/>
        <v>18</v>
      </c>
      <c r="J21" s="153">
        <f t="shared" si="0"/>
        <v>23</v>
      </c>
      <c r="K21" s="153">
        <f t="shared" si="0"/>
        <v>10</v>
      </c>
      <c r="L21" s="153">
        <f t="shared" si="0"/>
        <v>10</v>
      </c>
      <c r="M21" s="153">
        <f t="shared" si="0"/>
        <v>3906</v>
      </c>
      <c r="N21" s="153">
        <f t="shared" si="0"/>
        <v>1344</v>
      </c>
      <c r="O21" s="153">
        <f t="shared" si="0"/>
        <v>600</v>
      </c>
      <c r="P21" s="153">
        <f t="shared" si="0"/>
        <v>472</v>
      </c>
      <c r="Q21" s="153">
        <f t="shared" si="0"/>
        <v>684</v>
      </c>
      <c r="R21" s="153">
        <f t="shared" si="0"/>
        <v>15007</v>
      </c>
    </row>
    <row r="27" ht="16.5">
      <c r="A27" s="7" t="s">
        <v>267</v>
      </c>
    </row>
    <row r="29" spans="1:18" ht="89.25">
      <c r="A29" s="26" t="s">
        <v>10</v>
      </c>
      <c r="B29" s="19" t="s">
        <v>0</v>
      </c>
      <c r="C29" s="24" t="s">
        <v>53</v>
      </c>
      <c r="D29" s="24" t="s">
        <v>54</v>
      </c>
      <c r="E29" s="24" t="s">
        <v>55</v>
      </c>
      <c r="F29" s="24" t="s">
        <v>56</v>
      </c>
      <c r="G29" s="24" t="s">
        <v>76</v>
      </c>
      <c r="H29" s="24" t="s">
        <v>75</v>
      </c>
      <c r="I29" s="24" t="s">
        <v>69</v>
      </c>
      <c r="J29" s="24" t="s">
        <v>58</v>
      </c>
      <c r="K29" s="24" t="s">
        <v>59</v>
      </c>
      <c r="L29" s="24" t="s">
        <v>70</v>
      </c>
      <c r="M29" s="24" t="s">
        <v>60</v>
      </c>
      <c r="N29" s="24" t="s">
        <v>61</v>
      </c>
      <c r="O29" s="24" t="s">
        <v>71</v>
      </c>
      <c r="P29" s="24" t="s">
        <v>72</v>
      </c>
      <c r="Q29" s="24" t="s">
        <v>74</v>
      </c>
      <c r="R29" s="24" t="s">
        <v>73</v>
      </c>
    </row>
    <row r="30" spans="1:18" ht="16.5" customHeight="1">
      <c r="A30" s="28">
        <v>1</v>
      </c>
      <c r="B30" s="27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7">
        <v>11</v>
      </c>
      <c r="L30" s="27">
        <v>12</v>
      </c>
      <c r="M30" s="27">
        <v>13</v>
      </c>
      <c r="N30" s="27">
        <v>14</v>
      </c>
      <c r="O30" s="27">
        <v>15</v>
      </c>
      <c r="P30" s="27">
        <v>16</v>
      </c>
      <c r="Q30" s="28">
        <v>17</v>
      </c>
      <c r="R30" s="28">
        <v>18</v>
      </c>
    </row>
    <row r="31" spans="1:18" ht="21.75" customHeight="1">
      <c r="A31" s="30">
        <v>1</v>
      </c>
      <c r="B31" s="159" t="s">
        <v>149</v>
      </c>
      <c r="C31" s="67">
        <v>2</v>
      </c>
      <c r="D31" s="67">
        <v>30</v>
      </c>
      <c r="E31" s="67">
        <v>2</v>
      </c>
      <c r="F31" s="67">
        <v>12</v>
      </c>
      <c r="G31" s="67">
        <v>12</v>
      </c>
      <c r="H31" s="67">
        <v>1</v>
      </c>
      <c r="I31" s="67">
        <v>162</v>
      </c>
      <c r="J31" s="67">
        <v>155</v>
      </c>
      <c r="K31" s="67">
        <v>0</v>
      </c>
      <c r="L31" s="67">
        <v>1</v>
      </c>
      <c r="M31" s="67">
        <v>54</v>
      </c>
      <c r="N31" s="67">
        <v>1</v>
      </c>
      <c r="O31" s="67">
        <v>0</v>
      </c>
      <c r="P31" s="67">
        <v>1</v>
      </c>
      <c r="Q31" s="70">
        <v>1</v>
      </c>
      <c r="R31" s="70">
        <v>1</v>
      </c>
    </row>
    <row r="32" spans="1:18" ht="21.75" customHeight="1">
      <c r="A32" s="30">
        <v>2</v>
      </c>
      <c r="B32" s="159" t="s">
        <v>135</v>
      </c>
      <c r="C32" s="67">
        <v>10</v>
      </c>
      <c r="D32" s="67">
        <v>25</v>
      </c>
      <c r="E32" s="67">
        <v>4</v>
      </c>
      <c r="F32" s="67">
        <v>3</v>
      </c>
      <c r="G32" s="67">
        <v>12</v>
      </c>
      <c r="H32" s="67">
        <v>240</v>
      </c>
      <c r="I32" s="67">
        <v>240</v>
      </c>
      <c r="J32" s="67">
        <v>150</v>
      </c>
      <c r="K32" s="67">
        <v>0</v>
      </c>
      <c r="L32" s="67">
        <v>50</v>
      </c>
      <c r="M32" s="67">
        <v>40</v>
      </c>
      <c r="N32" s="67">
        <v>5</v>
      </c>
      <c r="O32" s="67">
        <v>3</v>
      </c>
      <c r="P32" s="67">
        <v>40</v>
      </c>
      <c r="Q32" s="70">
        <v>8</v>
      </c>
      <c r="R32" s="70">
        <v>1</v>
      </c>
    </row>
    <row r="33" spans="1:18" ht="21.75" customHeight="1">
      <c r="A33" s="30">
        <v>3</v>
      </c>
      <c r="B33" s="159" t="s">
        <v>146</v>
      </c>
      <c r="C33" s="67">
        <v>4</v>
      </c>
      <c r="D33" s="67">
        <v>42</v>
      </c>
      <c r="E33" s="67">
        <v>2</v>
      </c>
      <c r="F33" s="67">
        <v>2</v>
      </c>
      <c r="G33" s="67">
        <v>5</v>
      </c>
      <c r="H33" s="67">
        <v>145</v>
      </c>
      <c r="I33" s="67">
        <v>94</v>
      </c>
      <c r="J33" s="67">
        <v>60</v>
      </c>
      <c r="K33" s="67">
        <v>36</v>
      </c>
      <c r="L33" s="67">
        <v>2</v>
      </c>
      <c r="M33" s="67">
        <v>48</v>
      </c>
      <c r="N33" s="67">
        <v>2</v>
      </c>
      <c r="O33" s="67">
        <v>2</v>
      </c>
      <c r="P33" s="67">
        <v>6</v>
      </c>
      <c r="Q33" s="70">
        <v>2</v>
      </c>
      <c r="R33" s="70">
        <v>2</v>
      </c>
    </row>
    <row r="34" spans="1:18" ht="21.75" customHeight="1">
      <c r="A34" s="30">
        <v>4</v>
      </c>
      <c r="B34" s="160" t="s">
        <v>163</v>
      </c>
      <c r="C34" s="67">
        <v>1</v>
      </c>
      <c r="D34" s="67"/>
      <c r="E34" s="67"/>
      <c r="F34" s="67">
        <v>2</v>
      </c>
      <c r="G34" s="67"/>
      <c r="H34" s="67">
        <v>412</v>
      </c>
      <c r="I34" s="67">
        <v>144</v>
      </c>
      <c r="J34" s="67">
        <v>148</v>
      </c>
      <c r="K34" s="67">
        <v>0</v>
      </c>
      <c r="L34" s="67">
        <v>283</v>
      </c>
      <c r="M34" s="67">
        <v>48</v>
      </c>
      <c r="N34" s="67">
        <v>1</v>
      </c>
      <c r="O34" s="67">
        <v>2</v>
      </c>
      <c r="P34" s="67">
        <v>2</v>
      </c>
      <c r="Q34" s="70">
        <v>2</v>
      </c>
      <c r="R34" s="70">
        <v>1</v>
      </c>
    </row>
    <row r="35" spans="1:18" ht="21.75" customHeight="1">
      <c r="A35" s="30">
        <v>5</v>
      </c>
      <c r="B35" s="160" t="s">
        <v>173</v>
      </c>
      <c r="C35" s="67">
        <v>1</v>
      </c>
      <c r="D35" s="67">
        <v>14</v>
      </c>
      <c r="E35" s="67">
        <v>1</v>
      </c>
      <c r="F35" s="67">
        <v>2</v>
      </c>
      <c r="G35" s="67">
        <v>11</v>
      </c>
      <c r="H35" s="67">
        <v>275</v>
      </c>
      <c r="I35" s="67">
        <v>144</v>
      </c>
      <c r="J35" s="67">
        <v>133</v>
      </c>
      <c r="K35" s="67">
        <v>0</v>
      </c>
      <c r="L35" s="67"/>
      <c r="M35" s="67">
        <v>33</v>
      </c>
      <c r="N35" s="67">
        <v>1</v>
      </c>
      <c r="O35" s="67">
        <v>1</v>
      </c>
      <c r="P35" s="67">
        <v>0</v>
      </c>
      <c r="Q35" s="70">
        <v>1</v>
      </c>
      <c r="R35" s="70">
        <v>1</v>
      </c>
    </row>
    <row r="36" spans="1:18" ht="21.75" customHeight="1">
      <c r="A36" s="30">
        <v>6</v>
      </c>
      <c r="B36" s="159" t="s">
        <v>136</v>
      </c>
      <c r="C36" s="155"/>
      <c r="D36" s="155"/>
      <c r="E36" s="155"/>
      <c r="F36" s="155"/>
      <c r="G36" s="155"/>
      <c r="H36" s="139">
        <v>73</v>
      </c>
      <c r="I36" s="139">
        <v>155</v>
      </c>
      <c r="J36" s="155"/>
      <c r="K36" s="155"/>
      <c r="L36" s="155"/>
      <c r="M36" s="155"/>
      <c r="N36" s="155"/>
      <c r="O36" s="155"/>
      <c r="P36" s="155"/>
      <c r="Q36" s="156"/>
      <c r="R36" s="157">
        <v>1</v>
      </c>
    </row>
    <row r="37" spans="1:18" ht="21.75" customHeight="1">
      <c r="A37" s="30">
        <v>7</v>
      </c>
      <c r="B37" s="160" t="s">
        <v>158</v>
      </c>
      <c r="C37" s="75">
        <v>1</v>
      </c>
      <c r="D37" s="75">
        <v>4</v>
      </c>
      <c r="E37" s="75">
        <v>0</v>
      </c>
      <c r="F37" s="75">
        <v>1</v>
      </c>
      <c r="G37" s="75">
        <v>0</v>
      </c>
      <c r="H37" s="75">
        <v>0</v>
      </c>
      <c r="I37" s="75">
        <v>100</v>
      </c>
      <c r="J37" s="75">
        <v>49</v>
      </c>
      <c r="K37" s="75">
        <v>0</v>
      </c>
      <c r="L37" s="75">
        <v>0</v>
      </c>
      <c r="M37" s="75">
        <v>0</v>
      </c>
      <c r="N37" s="75">
        <v>1</v>
      </c>
      <c r="O37" s="75">
        <v>0</v>
      </c>
      <c r="P37" s="75">
        <v>0</v>
      </c>
      <c r="Q37" s="158">
        <v>0</v>
      </c>
      <c r="R37" s="158">
        <v>0</v>
      </c>
    </row>
    <row r="38" spans="1:18" ht="21.75" customHeight="1">
      <c r="A38" s="30">
        <v>8</v>
      </c>
      <c r="B38" s="160" t="s">
        <v>157</v>
      </c>
      <c r="C38" s="75">
        <v>1</v>
      </c>
      <c r="D38" s="75">
        <v>0</v>
      </c>
      <c r="E38" s="75">
        <v>0</v>
      </c>
      <c r="F38" s="75">
        <v>0</v>
      </c>
      <c r="G38" s="75">
        <v>2</v>
      </c>
      <c r="H38" s="75">
        <v>97</v>
      </c>
      <c r="I38" s="75">
        <v>100</v>
      </c>
      <c r="J38" s="75">
        <v>54</v>
      </c>
      <c r="K38" s="75">
        <v>0</v>
      </c>
      <c r="L38" s="75">
        <v>2</v>
      </c>
      <c r="M38" s="75">
        <v>16</v>
      </c>
      <c r="N38" s="75">
        <v>1</v>
      </c>
      <c r="O38" s="75">
        <v>0</v>
      </c>
      <c r="P38" s="75">
        <v>0</v>
      </c>
      <c r="Q38" s="158">
        <v>0</v>
      </c>
      <c r="R38" s="158">
        <v>0</v>
      </c>
    </row>
    <row r="39" spans="1:18" ht="21.75" customHeight="1">
      <c r="A39" s="30">
        <v>9</v>
      </c>
      <c r="B39" s="159" t="s">
        <v>176</v>
      </c>
      <c r="C39" s="67">
        <v>2</v>
      </c>
      <c r="D39" s="67">
        <v>22</v>
      </c>
      <c r="E39" s="67">
        <v>2</v>
      </c>
      <c r="F39" s="67">
        <v>1</v>
      </c>
      <c r="G39" s="67">
        <v>4</v>
      </c>
      <c r="H39" s="67">
        <v>40</v>
      </c>
      <c r="I39" s="67">
        <v>150</v>
      </c>
      <c r="J39" s="67">
        <v>13</v>
      </c>
      <c r="K39" s="67">
        <v>0</v>
      </c>
      <c r="L39" s="67">
        <v>1</v>
      </c>
      <c r="M39" s="67">
        <v>10</v>
      </c>
      <c r="N39" s="67">
        <v>2</v>
      </c>
      <c r="O39" s="67">
        <v>2</v>
      </c>
      <c r="P39" s="67">
        <v>0</v>
      </c>
      <c r="Q39" s="70">
        <v>1</v>
      </c>
      <c r="R39" s="70">
        <v>1</v>
      </c>
    </row>
    <row r="40" spans="1:18" ht="21.75" customHeight="1">
      <c r="A40" s="30">
        <v>10</v>
      </c>
      <c r="B40" s="159" t="s">
        <v>177</v>
      </c>
      <c r="C40" s="67"/>
      <c r="D40" s="67">
        <v>6</v>
      </c>
      <c r="E40" s="67">
        <v>1</v>
      </c>
      <c r="F40" s="67">
        <v>1</v>
      </c>
      <c r="G40" s="67"/>
      <c r="H40" s="67"/>
      <c r="I40" s="67">
        <v>250</v>
      </c>
      <c r="J40" s="67">
        <v>8</v>
      </c>
      <c r="K40" s="67">
        <v>10</v>
      </c>
      <c r="L40" s="67">
        <v>100</v>
      </c>
      <c r="M40" s="67">
        <v>8</v>
      </c>
      <c r="N40" s="67">
        <v>1</v>
      </c>
      <c r="O40" s="67">
        <v>0</v>
      </c>
      <c r="P40" s="67">
        <v>0</v>
      </c>
      <c r="Q40" s="70">
        <v>0</v>
      </c>
      <c r="R40" s="70">
        <v>1</v>
      </c>
    </row>
    <row r="41" spans="1:18" ht="21.75" customHeight="1">
      <c r="A41" s="30">
        <v>11</v>
      </c>
      <c r="B41" s="159" t="s">
        <v>178</v>
      </c>
      <c r="C41" s="67">
        <v>4</v>
      </c>
      <c r="D41" s="67">
        <v>2</v>
      </c>
      <c r="E41" s="67">
        <v>1</v>
      </c>
      <c r="F41" s="67"/>
      <c r="G41" s="67">
        <v>6</v>
      </c>
      <c r="H41" s="67">
        <v>9</v>
      </c>
      <c r="I41" s="67">
        <v>15</v>
      </c>
      <c r="J41" s="67">
        <v>15</v>
      </c>
      <c r="K41" s="67"/>
      <c r="L41" s="67">
        <v>5</v>
      </c>
      <c r="M41" s="67">
        <v>15</v>
      </c>
      <c r="N41" s="67">
        <v>2</v>
      </c>
      <c r="O41" s="67">
        <v>2</v>
      </c>
      <c r="P41" s="67">
        <v>2</v>
      </c>
      <c r="Q41" s="70">
        <v>1</v>
      </c>
      <c r="R41" s="70">
        <v>1</v>
      </c>
    </row>
    <row r="42" spans="1:18" ht="21.75" customHeight="1">
      <c r="A42" s="30">
        <v>12</v>
      </c>
      <c r="B42" s="159" t="s">
        <v>179</v>
      </c>
      <c r="C42" s="67">
        <v>1</v>
      </c>
      <c r="D42" s="67"/>
      <c r="E42" s="67"/>
      <c r="F42" s="67"/>
      <c r="G42" s="67"/>
      <c r="H42" s="67"/>
      <c r="I42" s="67"/>
      <c r="J42" s="67">
        <v>18</v>
      </c>
      <c r="K42" s="67"/>
      <c r="L42" s="67"/>
      <c r="M42" s="67">
        <v>4</v>
      </c>
      <c r="N42" s="67">
        <v>1</v>
      </c>
      <c r="O42" s="67"/>
      <c r="P42" s="67"/>
      <c r="Q42" s="70"/>
      <c r="R42" s="70"/>
    </row>
    <row r="43" spans="1:18" ht="21.75" customHeight="1">
      <c r="A43" s="23"/>
      <c r="B43" s="137" t="s">
        <v>112</v>
      </c>
      <c r="C43" s="137">
        <f>SUM(C31:C42)</f>
        <v>27</v>
      </c>
      <c r="D43" s="137">
        <f aca="true" t="shared" si="1" ref="D43:R43">SUM(D31:D42)</f>
        <v>145</v>
      </c>
      <c r="E43" s="137">
        <f t="shared" si="1"/>
        <v>13</v>
      </c>
      <c r="F43" s="137">
        <f t="shared" si="1"/>
        <v>24</v>
      </c>
      <c r="G43" s="137">
        <f t="shared" si="1"/>
        <v>52</v>
      </c>
      <c r="H43" s="129">
        <f t="shared" si="1"/>
        <v>1292</v>
      </c>
      <c r="I43" s="129">
        <f t="shared" si="1"/>
        <v>1554</v>
      </c>
      <c r="J43" s="137">
        <f t="shared" si="1"/>
        <v>803</v>
      </c>
      <c r="K43" s="137">
        <f t="shared" si="1"/>
        <v>46</v>
      </c>
      <c r="L43" s="137">
        <f t="shared" si="1"/>
        <v>444</v>
      </c>
      <c r="M43" s="137">
        <f t="shared" si="1"/>
        <v>276</v>
      </c>
      <c r="N43" s="137">
        <f t="shared" si="1"/>
        <v>18</v>
      </c>
      <c r="O43" s="137">
        <f t="shared" si="1"/>
        <v>12</v>
      </c>
      <c r="P43" s="137">
        <f t="shared" si="1"/>
        <v>51</v>
      </c>
      <c r="Q43" s="137">
        <f t="shared" si="1"/>
        <v>16</v>
      </c>
      <c r="R43" s="137">
        <f t="shared" si="1"/>
        <v>10</v>
      </c>
    </row>
    <row r="44" ht="19.5" customHeight="1"/>
    <row r="45" ht="19.5" customHeight="1"/>
    <row r="46" ht="19.5" customHeight="1"/>
    <row r="47" ht="19.5" customHeight="1"/>
  </sheetData>
  <sheetProtection/>
  <mergeCells count="14">
    <mergeCell ref="H6:H7"/>
    <mergeCell ref="I6:I7"/>
    <mergeCell ref="K6:K7"/>
    <mergeCell ref="L6:L7"/>
    <mergeCell ref="M6:R6"/>
    <mergeCell ref="A5:A7"/>
    <mergeCell ref="G6:G7"/>
    <mergeCell ref="J6:J7"/>
    <mergeCell ref="B5:B7"/>
    <mergeCell ref="C5:R5"/>
    <mergeCell ref="C6:C7"/>
    <mergeCell ref="D6:D7"/>
    <mergeCell ref="E6:E7"/>
    <mergeCell ref="F6:F7"/>
  </mergeCells>
  <printOptions/>
  <pageMargins left="0.5" right="0.4" top="0.75" bottom="0.7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A1" sqref="A1:T37"/>
    </sheetView>
  </sheetViews>
  <sheetFormatPr defaultColWidth="9.140625" defaultRowHeight="12.75"/>
  <cols>
    <col min="1" max="1" width="5.8515625" style="0" customWidth="1"/>
    <col min="2" max="2" width="40.00390625" style="0" customWidth="1"/>
    <col min="3" max="3" width="5.140625" style="0" customWidth="1"/>
    <col min="4" max="5" width="7.00390625" style="0" customWidth="1"/>
    <col min="6" max="6" width="4.421875" style="0" customWidth="1"/>
    <col min="7" max="8" width="7.00390625" style="0" customWidth="1"/>
    <col min="9" max="9" width="4.421875" style="0" customWidth="1"/>
    <col min="10" max="11" width="7.00390625" style="0" customWidth="1"/>
    <col min="12" max="12" width="4.421875" style="0" customWidth="1"/>
    <col min="13" max="14" width="7.00390625" style="0" customWidth="1"/>
    <col min="15" max="15" width="4.421875" style="0" customWidth="1"/>
    <col min="16" max="17" width="7.00390625" style="0" customWidth="1"/>
    <col min="18" max="18" width="4.421875" style="0" customWidth="1"/>
    <col min="19" max="20" width="7.00390625" style="0" customWidth="1"/>
  </cols>
  <sheetData>
    <row r="1" spans="1:20" ht="20.25" customHeight="1">
      <c r="A1" s="35" t="s">
        <v>263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3" ht="16.5">
      <c r="B2" s="32"/>
      <c r="C2" s="32"/>
    </row>
    <row r="3" spans="1:20" s="33" customFormat="1" ht="18.75" customHeight="1">
      <c r="A3" s="233" t="s">
        <v>10</v>
      </c>
      <c r="B3" s="229" t="s">
        <v>78</v>
      </c>
      <c r="C3" s="230" t="s">
        <v>80</v>
      </c>
      <c r="D3" s="231"/>
      <c r="E3" s="232"/>
      <c r="F3" s="230" t="s">
        <v>81</v>
      </c>
      <c r="G3" s="231"/>
      <c r="H3" s="232"/>
      <c r="I3" s="230" t="s">
        <v>210</v>
      </c>
      <c r="J3" s="231"/>
      <c r="K3" s="232"/>
      <c r="L3" s="230" t="s">
        <v>223</v>
      </c>
      <c r="M3" s="231"/>
      <c r="N3" s="232"/>
      <c r="O3" s="230" t="s">
        <v>243</v>
      </c>
      <c r="P3" s="231"/>
      <c r="Q3" s="232"/>
      <c r="R3" s="230" t="s">
        <v>244</v>
      </c>
      <c r="S3" s="231"/>
      <c r="T3" s="232"/>
    </row>
    <row r="4" spans="1:20" s="33" customFormat="1" ht="54" customHeight="1">
      <c r="A4" s="233"/>
      <c r="B4" s="229"/>
      <c r="C4" s="26" t="s">
        <v>4</v>
      </c>
      <c r="D4" s="26" t="s">
        <v>77</v>
      </c>
      <c r="E4" s="26" t="s">
        <v>79</v>
      </c>
      <c r="F4" s="26" t="s">
        <v>4</v>
      </c>
      <c r="G4" s="26" t="s">
        <v>77</v>
      </c>
      <c r="H4" s="26" t="s">
        <v>79</v>
      </c>
      <c r="I4" s="26" t="s">
        <v>4</v>
      </c>
      <c r="J4" s="26" t="s">
        <v>77</v>
      </c>
      <c r="K4" s="26" t="s">
        <v>79</v>
      </c>
      <c r="L4" s="26" t="s">
        <v>4</v>
      </c>
      <c r="M4" s="26" t="s">
        <v>77</v>
      </c>
      <c r="N4" s="26" t="s">
        <v>79</v>
      </c>
      <c r="O4" s="26" t="s">
        <v>4</v>
      </c>
      <c r="P4" s="26" t="s">
        <v>77</v>
      </c>
      <c r="Q4" s="26" t="s">
        <v>79</v>
      </c>
      <c r="R4" s="26" t="s">
        <v>4</v>
      </c>
      <c r="S4" s="26" t="s">
        <v>77</v>
      </c>
      <c r="T4" s="26" t="s">
        <v>79</v>
      </c>
    </row>
    <row r="5" spans="1:20" s="33" customFormat="1" ht="21.75" customHeight="1">
      <c r="A5" s="97">
        <v>1</v>
      </c>
      <c r="B5" s="98" t="s">
        <v>151</v>
      </c>
      <c r="C5" s="95">
        <v>10</v>
      </c>
      <c r="D5" s="95">
        <f>E5</f>
        <v>350</v>
      </c>
      <c r="E5" s="95">
        <v>350</v>
      </c>
      <c r="F5" s="95">
        <v>11</v>
      </c>
      <c r="G5" s="95">
        <f>H5</f>
        <v>385</v>
      </c>
      <c r="H5" s="95">
        <v>385</v>
      </c>
      <c r="I5" s="95">
        <v>12</v>
      </c>
      <c r="J5" s="95">
        <v>420</v>
      </c>
      <c r="K5" s="95">
        <v>420</v>
      </c>
      <c r="L5" s="95">
        <v>12</v>
      </c>
      <c r="M5" s="95">
        <v>420</v>
      </c>
      <c r="N5" s="95">
        <v>420</v>
      </c>
      <c r="O5" s="95">
        <v>12</v>
      </c>
      <c r="P5" s="95">
        <v>420</v>
      </c>
      <c r="Q5" s="95">
        <v>420</v>
      </c>
      <c r="R5" s="95">
        <v>12</v>
      </c>
      <c r="S5" s="95">
        <v>420</v>
      </c>
      <c r="T5" s="95">
        <v>420</v>
      </c>
    </row>
    <row r="6" spans="1:20" s="33" customFormat="1" ht="21.75" customHeight="1">
      <c r="A6" s="99" t="s">
        <v>40</v>
      </c>
      <c r="B6" s="100" t="s">
        <v>131</v>
      </c>
      <c r="C6" s="211">
        <f>SUM(C7:C10)</f>
        <v>37</v>
      </c>
      <c r="D6" s="96">
        <f>SUM(D7:D10)</f>
        <v>635</v>
      </c>
      <c r="E6" s="96">
        <f aca="true" t="shared" si="0" ref="E6:Q6">SUM(E7:E10)</f>
        <v>568</v>
      </c>
      <c r="F6" s="96">
        <f>SUM(F7:F10)</f>
        <v>40</v>
      </c>
      <c r="G6" s="96">
        <f t="shared" si="0"/>
        <v>663</v>
      </c>
      <c r="H6" s="96">
        <f t="shared" si="0"/>
        <v>580</v>
      </c>
      <c r="I6" s="96">
        <f>SUM(I7:I10)</f>
        <v>40</v>
      </c>
      <c r="J6" s="96">
        <f t="shared" si="0"/>
        <v>711</v>
      </c>
      <c r="K6" s="96">
        <f t="shared" si="0"/>
        <v>610</v>
      </c>
      <c r="L6" s="96">
        <f>SUM(L7:L10)</f>
        <v>41</v>
      </c>
      <c r="M6" s="96">
        <f>SUM(M7:M10)</f>
        <v>746</v>
      </c>
      <c r="N6" s="96">
        <f>SUM(N7:N10)</f>
        <v>632</v>
      </c>
      <c r="O6" s="96">
        <f>SUM(O7:O10)</f>
        <v>41</v>
      </c>
      <c r="P6" s="96">
        <f t="shared" si="0"/>
        <v>742</v>
      </c>
      <c r="Q6" s="96">
        <f t="shared" si="0"/>
        <v>647</v>
      </c>
      <c r="R6" s="96">
        <f>SUM(R7:R10)</f>
        <v>40</v>
      </c>
      <c r="S6" s="96">
        <f>SUM(S7:S10)</f>
        <v>735</v>
      </c>
      <c r="T6" s="96">
        <f>SUM(T7:T10)</f>
        <v>647</v>
      </c>
    </row>
    <row r="7" spans="1:20" s="33" customFormat="1" ht="21.75" customHeight="1">
      <c r="A7" s="97">
        <v>1</v>
      </c>
      <c r="B7" s="98" t="s">
        <v>137</v>
      </c>
      <c r="C7" s="98">
        <v>8</v>
      </c>
      <c r="D7" s="95">
        <v>226</v>
      </c>
      <c r="E7" s="95">
        <v>226</v>
      </c>
      <c r="F7" s="95">
        <v>8</v>
      </c>
      <c r="G7" s="95">
        <v>226</v>
      </c>
      <c r="H7" s="95">
        <v>226</v>
      </c>
      <c r="I7" s="95">
        <v>8</v>
      </c>
      <c r="J7" s="95">
        <v>236</v>
      </c>
      <c r="K7" s="95">
        <v>236</v>
      </c>
      <c r="L7" s="95">
        <v>8</v>
      </c>
      <c r="M7" s="95">
        <v>250</v>
      </c>
      <c r="N7" s="95">
        <v>250</v>
      </c>
      <c r="O7" s="95">
        <v>8</v>
      </c>
      <c r="P7" s="95">
        <v>250</v>
      </c>
      <c r="Q7" s="95">
        <v>250</v>
      </c>
      <c r="R7" s="95">
        <v>8</v>
      </c>
      <c r="S7" s="95">
        <v>250</v>
      </c>
      <c r="T7" s="95">
        <v>250</v>
      </c>
    </row>
    <row r="8" spans="1:20" s="33" customFormat="1" ht="21.75" customHeight="1">
      <c r="A8" s="97">
        <v>2</v>
      </c>
      <c r="B8" s="98" t="s">
        <v>245</v>
      </c>
      <c r="C8" s="98">
        <v>13</v>
      </c>
      <c r="D8" s="95">
        <v>143</v>
      </c>
      <c r="E8" s="95">
        <v>143</v>
      </c>
      <c r="F8" s="133">
        <v>13</v>
      </c>
      <c r="G8" s="95">
        <v>142</v>
      </c>
      <c r="H8" s="95">
        <v>142</v>
      </c>
      <c r="I8" s="133">
        <v>13</v>
      </c>
      <c r="J8" s="95">
        <v>136</v>
      </c>
      <c r="K8" s="95">
        <v>136</v>
      </c>
      <c r="L8" s="133">
        <v>13</v>
      </c>
      <c r="M8" s="95">
        <v>142</v>
      </c>
      <c r="N8" s="95">
        <v>142</v>
      </c>
      <c r="O8" s="133">
        <v>13</v>
      </c>
      <c r="P8" s="95">
        <v>145</v>
      </c>
      <c r="Q8" s="95">
        <v>145</v>
      </c>
      <c r="R8" s="133">
        <v>13</v>
      </c>
      <c r="S8" s="95">
        <v>149</v>
      </c>
      <c r="T8" s="95">
        <v>149</v>
      </c>
    </row>
    <row r="9" spans="1:20" s="33" customFormat="1" ht="21.75" customHeight="1">
      <c r="A9" s="97">
        <v>3</v>
      </c>
      <c r="B9" s="98" t="s">
        <v>246</v>
      </c>
      <c r="C9" s="98">
        <v>8</v>
      </c>
      <c r="D9" s="95">
        <v>146</v>
      </c>
      <c r="E9" s="95">
        <v>103</v>
      </c>
      <c r="F9" s="133">
        <v>11</v>
      </c>
      <c r="G9" s="95">
        <v>173</v>
      </c>
      <c r="H9" s="95">
        <v>114</v>
      </c>
      <c r="I9" s="133">
        <v>11</v>
      </c>
      <c r="J9" s="95">
        <v>194</v>
      </c>
      <c r="K9" s="95">
        <v>122</v>
      </c>
      <c r="L9" s="133">
        <v>12</v>
      </c>
      <c r="M9" s="95">
        <v>214</v>
      </c>
      <c r="N9" s="95">
        <v>128</v>
      </c>
      <c r="O9" s="133">
        <v>12</v>
      </c>
      <c r="P9" s="95">
        <v>205</v>
      </c>
      <c r="Q9" s="95">
        <v>138</v>
      </c>
      <c r="R9" s="133">
        <v>11</v>
      </c>
      <c r="S9" s="95">
        <v>195</v>
      </c>
      <c r="T9" s="95">
        <v>135</v>
      </c>
    </row>
    <row r="10" spans="1:20" s="33" customFormat="1" ht="21.75" customHeight="1">
      <c r="A10" s="97">
        <v>4</v>
      </c>
      <c r="B10" s="98" t="s">
        <v>247</v>
      </c>
      <c r="C10" s="98">
        <v>8</v>
      </c>
      <c r="D10" s="95">
        <v>120</v>
      </c>
      <c r="E10" s="95">
        <v>96</v>
      </c>
      <c r="F10" s="133">
        <v>8</v>
      </c>
      <c r="G10" s="95">
        <v>122</v>
      </c>
      <c r="H10" s="95">
        <v>98</v>
      </c>
      <c r="I10" s="133">
        <v>8</v>
      </c>
      <c r="J10" s="95">
        <v>145</v>
      </c>
      <c r="K10" s="95">
        <v>116</v>
      </c>
      <c r="L10" s="133">
        <v>8</v>
      </c>
      <c r="M10" s="95">
        <v>140</v>
      </c>
      <c r="N10" s="95">
        <v>112</v>
      </c>
      <c r="O10" s="133">
        <v>8</v>
      </c>
      <c r="P10" s="95">
        <v>142</v>
      </c>
      <c r="Q10" s="95">
        <v>114</v>
      </c>
      <c r="R10" s="133">
        <v>8</v>
      </c>
      <c r="S10" s="95">
        <v>141</v>
      </c>
      <c r="T10" s="95">
        <v>113</v>
      </c>
    </row>
    <row r="11" spans="1:20" s="33" customFormat="1" ht="21.75" customHeight="1">
      <c r="A11" s="99" t="s">
        <v>193</v>
      </c>
      <c r="B11" s="100" t="s">
        <v>148</v>
      </c>
      <c r="C11" s="211">
        <f>SUM(C12:C14)</f>
        <v>26</v>
      </c>
      <c r="D11" s="96">
        <f>SUM(D12:D14)</f>
        <v>453</v>
      </c>
      <c r="E11" s="96">
        <f aca="true" t="shared" si="1" ref="E11:Q11">SUM(E12:E14)</f>
        <v>453</v>
      </c>
      <c r="F11" s="96">
        <f>SUM(F12:F14)</f>
        <v>24</v>
      </c>
      <c r="G11" s="96">
        <f t="shared" si="1"/>
        <v>477</v>
      </c>
      <c r="H11" s="96">
        <f t="shared" si="1"/>
        <v>477</v>
      </c>
      <c r="I11" s="96">
        <f>SUM(I12:I14)</f>
        <v>23</v>
      </c>
      <c r="J11" s="96">
        <f t="shared" si="1"/>
        <v>502</v>
      </c>
      <c r="K11" s="96">
        <f t="shared" si="1"/>
        <v>502</v>
      </c>
      <c r="L11" s="96">
        <f>SUM(L12:L14)</f>
        <v>22</v>
      </c>
      <c r="M11" s="96">
        <f>SUM(M12:M14)</f>
        <v>534</v>
      </c>
      <c r="N11" s="96">
        <f>SUM(N12:N14)</f>
        <v>534</v>
      </c>
      <c r="O11" s="96">
        <f>SUM(O12:O14)</f>
        <v>22</v>
      </c>
      <c r="P11" s="96">
        <f t="shared" si="1"/>
        <v>545</v>
      </c>
      <c r="Q11" s="96">
        <f t="shared" si="1"/>
        <v>540</v>
      </c>
      <c r="R11" s="96">
        <f>SUM(R12:R14)</f>
        <v>22</v>
      </c>
      <c r="S11" s="96">
        <f>SUM(S12:S14)</f>
        <v>553</v>
      </c>
      <c r="T11" s="96">
        <f>SUM(T12:T14)</f>
        <v>541</v>
      </c>
    </row>
    <row r="12" spans="1:20" s="33" customFormat="1" ht="21.75" customHeight="1">
      <c r="A12" s="97">
        <v>1</v>
      </c>
      <c r="B12" s="98" t="s">
        <v>142</v>
      </c>
      <c r="C12" s="195">
        <v>6</v>
      </c>
      <c r="D12" s="196">
        <v>142</v>
      </c>
      <c r="E12" s="196">
        <v>142</v>
      </c>
      <c r="F12" s="196">
        <v>6</v>
      </c>
      <c r="G12" s="196">
        <v>150</v>
      </c>
      <c r="H12" s="196">
        <v>150</v>
      </c>
      <c r="I12" s="196">
        <v>6</v>
      </c>
      <c r="J12" s="196">
        <v>160</v>
      </c>
      <c r="K12" s="196">
        <v>160</v>
      </c>
      <c r="L12" s="196">
        <v>6</v>
      </c>
      <c r="M12" s="196">
        <v>180</v>
      </c>
      <c r="N12" s="196">
        <v>180</v>
      </c>
      <c r="O12" s="196">
        <v>6</v>
      </c>
      <c r="P12" s="196">
        <v>180</v>
      </c>
      <c r="Q12" s="196">
        <v>180</v>
      </c>
      <c r="R12" s="196">
        <v>6</v>
      </c>
      <c r="S12" s="196">
        <v>180</v>
      </c>
      <c r="T12" s="196">
        <v>180</v>
      </c>
    </row>
    <row r="13" spans="1:20" s="33" customFormat="1" ht="21.75" customHeight="1">
      <c r="A13" s="97">
        <v>2</v>
      </c>
      <c r="B13" s="101" t="s">
        <v>248</v>
      </c>
      <c r="C13" s="197">
        <v>7</v>
      </c>
      <c r="D13" s="198">
        <v>86</v>
      </c>
      <c r="E13" s="196">
        <v>86</v>
      </c>
      <c r="F13" s="199">
        <v>6</v>
      </c>
      <c r="G13" s="199">
        <v>85</v>
      </c>
      <c r="H13" s="196">
        <v>85</v>
      </c>
      <c r="I13" s="196">
        <v>6</v>
      </c>
      <c r="J13" s="196">
        <v>90</v>
      </c>
      <c r="K13" s="196">
        <v>90</v>
      </c>
      <c r="L13" s="196">
        <v>6</v>
      </c>
      <c r="M13" s="196">
        <v>99</v>
      </c>
      <c r="N13" s="196">
        <v>99</v>
      </c>
      <c r="O13" s="196">
        <v>6</v>
      </c>
      <c r="P13" s="196">
        <v>100</v>
      </c>
      <c r="Q13" s="196">
        <v>100</v>
      </c>
      <c r="R13" s="196">
        <v>6</v>
      </c>
      <c r="S13" s="196">
        <v>100</v>
      </c>
      <c r="T13" s="196">
        <v>100</v>
      </c>
    </row>
    <row r="14" spans="1:20" s="33" customFormat="1" ht="21.75" customHeight="1">
      <c r="A14" s="97">
        <v>3</v>
      </c>
      <c r="B14" s="98" t="s">
        <v>249</v>
      </c>
      <c r="C14" s="195">
        <v>13</v>
      </c>
      <c r="D14" s="196">
        <v>225</v>
      </c>
      <c r="E14" s="196">
        <v>225</v>
      </c>
      <c r="F14" s="196">
        <v>12</v>
      </c>
      <c r="G14" s="196">
        <v>242</v>
      </c>
      <c r="H14" s="196">
        <v>242</v>
      </c>
      <c r="I14" s="196">
        <v>11</v>
      </c>
      <c r="J14" s="196">
        <v>252</v>
      </c>
      <c r="K14" s="196">
        <v>252</v>
      </c>
      <c r="L14" s="196">
        <v>10</v>
      </c>
      <c r="M14" s="196">
        <v>255</v>
      </c>
      <c r="N14" s="196">
        <v>255</v>
      </c>
      <c r="O14" s="196">
        <v>10</v>
      </c>
      <c r="P14" s="196">
        <v>265</v>
      </c>
      <c r="Q14" s="196">
        <v>260</v>
      </c>
      <c r="R14" s="196">
        <v>10</v>
      </c>
      <c r="S14" s="196">
        <v>273</v>
      </c>
      <c r="T14" s="196">
        <v>261</v>
      </c>
    </row>
    <row r="15" spans="1:20" s="33" customFormat="1" ht="21.75" customHeight="1">
      <c r="A15" s="99" t="s">
        <v>194</v>
      </c>
      <c r="B15" s="94" t="s">
        <v>152</v>
      </c>
      <c r="C15" s="212">
        <f>SUM(C16:C24)</f>
        <v>142</v>
      </c>
      <c r="D15" s="212">
        <f aca="true" t="shared" si="2" ref="D15:Q15">SUM(D16:D24)</f>
        <v>3305</v>
      </c>
      <c r="E15" s="212">
        <f t="shared" si="2"/>
        <v>1777</v>
      </c>
      <c r="F15" s="212">
        <f t="shared" si="2"/>
        <v>141</v>
      </c>
      <c r="G15" s="212">
        <f t="shared" si="2"/>
        <v>3441</v>
      </c>
      <c r="H15" s="212">
        <f t="shared" si="2"/>
        <v>1790</v>
      </c>
      <c r="I15" s="212">
        <f t="shared" si="2"/>
        <v>139</v>
      </c>
      <c r="J15" s="212">
        <f t="shared" si="2"/>
        <v>3387</v>
      </c>
      <c r="K15" s="212">
        <f t="shared" si="2"/>
        <v>1823</v>
      </c>
      <c r="L15" s="212">
        <f t="shared" si="2"/>
        <v>139</v>
      </c>
      <c r="M15" s="212">
        <f t="shared" si="2"/>
        <v>3412</v>
      </c>
      <c r="N15" s="212">
        <f t="shared" si="2"/>
        <v>1852</v>
      </c>
      <c r="O15" s="212">
        <f t="shared" si="2"/>
        <v>139</v>
      </c>
      <c r="P15" s="212">
        <f t="shared" si="2"/>
        <v>3435</v>
      </c>
      <c r="Q15" s="212">
        <f t="shared" si="2"/>
        <v>1857</v>
      </c>
      <c r="R15" s="212">
        <f>SUM(R16:R24)</f>
        <v>139</v>
      </c>
      <c r="S15" s="212">
        <f>SUM(S16:S24)</f>
        <v>3470</v>
      </c>
      <c r="T15" s="212">
        <f>SUM(T16:T24)</f>
        <v>1883</v>
      </c>
    </row>
    <row r="16" spans="1:20" s="33" customFormat="1" ht="21.75" customHeight="1">
      <c r="A16" s="97">
        <v>1</v>
      </c>
      <c r="B16" s="98" t="s">
        <v>163</v>
      </c>
      <c r="C16" s="98">
        <v>8</v>
      </c>
      <c r="D16" s="95">
        <v>280</v>
      </c>
      <c r="E16" s="95">
        <v>280</v>
      </c>
      <c r="F16" s="98">
        <v>8</v>
      </c>
      <c r="G16" s="95">
        <v>280</v>
      </c>
      <c r="H16" s="95">
        <v>280</v>
      </c>
      <c r="I16" s="98">
        <v>8</v>
      </c>
      <c r="J16" s="95">
        <v>280</v>
      </c>
      <c r="K16" s="95">
        <v>280</v>
      </c>
      <c r="L16" s="98">
        <v>8</v>
      </c>
      <c r="M16" s="95">
        <v>280</v>
      </c>
      <c r="N16" s="95">
        <v>280</v>
      </c>
      <c r="O16" s="98">
        <v>8</v>
      </c>
      <c r="P16" s="95">
        <v>280</v>
      </c>
      <c r="Q16" s="95">
        <v>280</v>
      </c>
      <c r="R16" s="98">
        <v>8</v>
      </c>
      <c r="S16" s="95">
        <v>280</v>
      </c>
      <c r="T16" s="95">
        <v>280</v>
      </c>
    </row>
    <row r="17" spans="1:20" s="33" customFormat="1" ht="21.75" customHeight="1">
      <c r="A17" s="97">
        <v>2</v>
      </c>
      <c r="B17" s="93" t="s">
        <v>158</v>
      </c>
      <c r="C17" s="213">
        <v>10</v>
      </c>
      <c r="D17" s="209">
        <v>356</v>
      </c>
      <c r="E17" s="209">
        <v>258</v>
      </c>
      <c r="F17" s="209">
        <v>10</v>
      </c>
      <c r="G17" s="209">
        <v>352</v>
      </c>
      <c r="H17" s="209">
        <v>260</v>
      </c>
      <c r="I17" s="209">
        <v>10</v>
      </c>
      <c r="J17" s="209">
        <v>378</v>
      </c>
      <c r="K17" s="209">
        <v>263</v>
      </c>
      <c r="L17" s="209">
        <v>10</v>
      </c>
      <c r="M17" s="209">
        <v>386</v>
      </c>
      <c r="N17" s="209">
        <v>280</v>
      </c>
      <c r="O17" s="209">
        <v>10</v>
      </c>
      <c r="P17" s="209">
        <v>391</v>
      </c>
      <c r="Q17" s="209">
        <v>283</v>
      </c>
      <c r="R17" s="209">
        <v>10</v>
      </c>
      <c r="S17" s="209">
        <v>398</v>
      </c>
      <c r="T17" s="209">
        <v>291</v>
      </c>
    </row>
    <row r="18" spans="1:20" s="33" customFormat="1" ht="21.75" customHeight="1">
      <c r="A18" s="97">
        <v>3</v>
      </c>
      <c r="B18" s="93" t="s">
        <v>157</v>
      </c>
      <c r="C18" s="213">
        <v>11</v>
      </c>
      <c r="D18" s="209">
        <v>409</v>
      </c>
      <c r="E18" s="209">
        <v>316</v>
      </c>
      <c r="F18" s="209">
        <v>11</v>
      </c>
      <c r="G18" s="209">
        <v>419</v>
      </c>
      <c r="H18" s="209">
        <v>322</v>
      </c>
      <c r="I18" s="209">
        <v>11</v>
      </c>
      <c r="J18" s="209">
        <v>414</v>
      </c>
      <c r="K18" s="209">
        <v>333</v>
      </c>
      <c r="L18" s="209">
        <v>11</v>
      </c>
      <c r="M18" s="209">
        <v>404</v>
      </c>
      <c r="N18" s="209">
        <v>325</v>
      </c>
      <c r="O18" s="209">
        <v>11</v>
      </c>
      <c r="P18" s="209">
        <v>415</v>
      </c>
      <c r="Q18" s="209">
        <v>328</v>
      </c>
      <c r="R18" s="209">
        <v>11</v>
      </c>
      <c r="S18" s="209">
        <v>419</v>
      </c>
      <c r="T18" s="209">
        <v>329</v>
      </c>
    </row>
    <row r="19" spans="1:20" s="33" customFormat="1" ht="21.75" customHeight="1">
      <c r="A19" s="97">
        <v>4</v>
      </c>
      <c r="B19" s="93" t="s">
        <v>250</v>
      </c>
      <c r="C19" s="213">
        <v>12</v>
      </c>
      <c r="D19" s="209">
        <v>323</v>
      </c>
      <c r="E19" s="209">
        <v>265</v>
      </c>
      <c r="F19" s="209">
        <v>11</v>
      </c>
      <c r="G19" s="209">
        <v>414</v>
      </c>
      <c r="H19" s="209">
        <v>265</v>
      </c>
      <c r="I19" s="209">
        <v>10</v>
      </c>
      <c r="J19" s="209">
        <v>399</v>
      </c>
      <c r="K19" s="209">
        <v>280</v>
      </c>
      <c r="L19" s="209">
        <v>9</v>
      </c>
      <c r="M19" s="209">
        <v>388</v>
      </c>
      <c r="N19" s="209">
        <v>278</v>
      </c>
      <c r="O19" s="209">
        <v>9</v>
      </c>
      <c r="P19" s="209">
        <v>395</v>
      </c>
      <c r="Q19" s="209">
        <v>281</v>
      </c>
      <c r="R19" s="209">
        <v>9</v>
      </c>
      <c r="S19" s="209">
        <v>398</v>
      </c>
      <c r="T19" s="209">
        <v>282</v>
      </c>
    </row>
    <row r="20" spans="1:20" s="33" customFormat="1" ht="21.75" customHeight="1">
      <c r="A20" s="97">
        <v>5</v>
      </c>
      <c r="B20" s="93" t="s">
        <v>166</v>
      </c>
      <c r="C20" s="214">
        <v>27</v>
      </c>
      <c r="D20" s="210">
        <f>194-40+41</f>
        <v>195</v>
      </c>
      <c r="E20" s="210">
        <f>127-24+28</f>
        <v>131</v>
      </c>
      <c r="F20" s="210">
        <v>27</v>
      </c>
      <c r="G20" s="210">
        <f>D20-50+48</f>
        <v>193</v>
      </c>
      <c r="H20" s="210">
        <f>E20-33+26</f>
        <v>124</v>
      </c>
      <c r="I20" s="210">
        <v>26</v>
      </c>
      <c r="J20" s="210">
        <f>G20-52+37</f>
        <v>178</v>
      </c>
      <c r="K20" s="210">
        <f>H20-36+23</f>
        <v>111</v>
      </c>
      <c r="L20" s="210">
        <v>26</v>
      </c>
      <c r="M20" s="210">
        <f>G20-53+46</f>
        <v>186</v>
      </c>
      <c r="N20" s="210">
        <f>H20-34+25</f>
        <v>115</v>
      </c>
      <c r="O20" s="210">
        <v>26</v>
      </c>
      <c r="P20" s="210">
        <f>J20-53+46</f>
        <v>171</v>
      </c>
      <c r="Q20" s="210">
        <f>K20-34+25</f>
        <v>102</v>
      </c>
      <c r="R20" s="210">
        <v>26</v>
      </c>
      <c r="S20" s="210">
        <f>M20-53+46</f>
        <v>179</v>
      </c>
      <c r="T20" s="210">
        <f>N20-34+25</f>
        <v>106</v>
      </c>
    </row>
    <row r="21" spans="1:20" s="33" customFormat="1" ht="21.75" customHeight="1">
      <c r="A21" s="97">
        <v>6</v>
      </c>
      <c r="B21" s="93" t="s">
        <v>167</v>
      </c>
      <c r="C21" s="214">
        <v>31</v>
      </c>
      <c r="D21" s="210">
        <v>559</v>
      </c>
      <c r="E21" s="210">
        <v>60</v>
      </c>
      <c r="F21" s="210">
        <v>31</v>
      </c>
      <c r="G21" s="210">
        <v>553</v>
      </c>
      <c r="H21" s="210">
        <v>73</v>
      </c>
      <c r="I21" s="210">
        <v>31</v>
      </c>
      <c r="J21" s="210">
        <v>542</v>
      </c>
      <c r="K21" s="210">
        <v>82</v>
      </c>
      <c r="L21" s="210">
        <v>31</v>
      </c>
      <c r="M21" s="210">
        <v>554</v>
      </c>
      <c r="N21" s="210">
        <v>95</v>
      </c>
      <c r="O21" s="210">
        <v>31</v>
      </c>
      <c r="P21" s="210">
        <v>561</v>
      </c>
      <c r="Q21" s="210">
        <v>98</v>
      </c>
      <c r="R21" s="210">
        <v>31</v>
      </c>
      <c r="S21" s="210">
        <v>565</v>
      </c>
      <c r="T21" s="210">
        <v>102</v>
      </c>
    </row>
    <row r="22" spans="1:20" s="33" customFormat="1" ht="21.75" customHeight="1">
      <c r="A22" s="97">
        <v>7</v>
      </c>
      <c r="B22" s="93" t="s">
        <v>168</v>
      </c>
      <c r="C22" s="214">
        <v>18</v>
      </c>
      <c r="D22" s="210">
        <v>585</v>
      </c>
      <c r="E22" s="210">
        <v>320</v>
      </c>
      <c r="F22" s="210">
        <v>18</v>
      </c>
      <c r="G22" s="210">
        <v>615</v>
      </c>
      <c r="H22" s="210">
        <v>315</v>
      </c>
      <c r="I22" s="210">
        <v>17</v>
      </c>
      <c r="J22" s="210">
        <v>550</v>
      </c>
      <c r="K22" s="210">
        <v>317</v>
      </c>
      <c r="L22" s="210">
        <v>17</v>
      </c>
      <c r="M22" s="210">
        <v>562</v>
      </c>
      <c r="N22" s="210">
        <v>325</v>
      </c>
      <c r="O22" s="210">
        <v>17</v>
      </c>
      <c r="P22" s="210">
        <v>565</v>
      </c>
      <c r="Q22" s="210">
        <v>321</v>
      </c>
      <c r="R22" s="210">
        <v>17</v>
      </c>
      <c r="S22" s="210">
        <v>572</v>
      </c>
      <c r="T22" s="210">
        <v>327</v>
      </c>
    </row>
    <row r="23" spans="1:20" s="33" customFormat="1" ht="21.75" customHeight="1">
      <c r="A23" s="97">
        <v>8</v>
      </c>
      <c r="B23" s="93" t="s">
        <v>169</v>
      </c>
      <c r="C23" s="214">
        <v>10</v>
      </c>
      <c r="D23" s="210">
        <v>323</v>
      </c>
      <c r="E23" s="210">
        <v>90</v>
      </c>
      <c r="F23" s="210">
        <v>10</v>
      </c>
      <c r="G23" s="210">
        <v>341</v>
      </c>
      <c r="H23" s="210">
        <v>95</v>
      </c>
      <c r="I23" s="210">
        <v>11</v>
      </c>
      <c r="J23" s="210">
        <v>353</v>
      </c>
      <c r="K23" s="210">
        <v>106</v>
      </c>
      <c r="L23" s="210">
        <v>11</v>
      </c>
      <c r="M23" s="210">
        <v>356</v>
      </c>
      <c r="N23" s="210">
        <v>110</v>
      </c>
      <c r="O23" s="210">
        <v>11</v>
      </c>
      <c r="P23" s="210">
        <v>358</v>
      </c>
      <c r="Q23" s="210">
        <v>112</v>
      </c>
      <c r="R23" s="210">
        <v>11</v>
      </c>
      <c r="S23" s="210">
        <v>362</v>
      </c>
      <c r="T23" s="210">
        <v>115</v>
      </c>
    </row>
    <row r="24" spans="1:20" s="33" customFormat="1" ht="21.75" customHeight="1">
      <c r="A24" s="97">
        <v>9</v>
      </c>
      <c r="B24" s="93" t="s">
        <v>170</v>
      </c>
      <c r="C24" s="214">
        <v>15</v>
      </c>
      <c r="D24" s="210">
        <v>275</v>
      </c>
      <c r="E24" s="210">
        <v>57</v>
      </c>
      <c r="F24" s="210">
        <v>15</v>
      </c>
      <c r="G24" s="210">
        <v>274</v>
      </c>
      <c r="H24" s="210">
        <v>56</v>
      </c>
      <c r="I24" s="210">
        <v>15</v>
      </c>
      <c r="J24" s="210">
        <v>293</v>
      </c>
      <c r="K24" s="210">
        <v>51</v>
      </c>
      <c r="L24" s="210">
        <v>16</v>
      </c>
      <c r="M24" s="210">
        <v>296</v>
      </c>
      <c r="N24" s="210">
        <v>44</v>
      </c>
      <c r="O24" s="210">
        <v>16</v>
      </c>
      <c r="P24" s="210">
        <v>299</v>
      </c>
      <c r="Q24" s="210">
        <v>52</v>
      </c>
      <c r="R24" s="210">
        <v>16</v>
      </c>
      <c r="S24" s="210">
        <v>297</v>
      </c>
      <c r="T24" s="210">
        <v>51</v>
      </c>
    </row>
    <row r="25" spans="1:20" s="33" customFormat="1" ht="21.75" customHeight="1">
      <c r="A25" s="99" t="s">
        <v>195</v>
      </c>
      <c r="B25" s="100" t="s">
        <v>180</v>
      </c>
      <c r="C25" s="211">
        <f>SUM(C26:C34)</f>
        <v>187</v>
      </c>
      <c r="D25" s="96">
        <f>SUM(D26:D34)</f>
        <v>4019</v>
      </c>
      <c r="E25" s="96">
        <f aca="true" t="shared" si="3" ref="E25:Q25">SUM(E26:E34)</f>
        <v>2219</v>
      </c>
      <c r="F25" s="96">
        <f>SUM(F26:F34)</f>
        <v>190</v>
      </c>
      <c r="G25" s="96">
        <f t="shared" si="3"/>
        <v>4288</v>
      </c>
      <c r="H25" s="96">
        <f t="shared" si="3"/>
        <v>2414</v>
      </c>
      <c r="I25" s="96">
        <f>SUM(I26:I34)</f>
        <v>194</v>
      </c>
      <c r="J25" s="96">
        <f t="shared" si="3"/>
        <v>4357</v>
      </c>
      <c r="K25" s="96">
        <f t="shared" si="3"/>
        <v>2494</v>
      </c>
      <c r="L25" s="96">
        <f>SUM(L26:L34)</f>
        <v>197</v>
      </c>
      <c r="M25" s="96">
        <f>SUM(M26:M34)</f>
        <v>4547</v>
      </c>
      <c r="N25" s="96">
        <f>SUM(N26:N34)</f>
        <v>2606</v>
      </c>
      <c r="O25" s="96">
        <f>SUM(O26:O34)</f>
        <v>197</v>
      </c>
      <c r="P25" s="96">
        <f t="shared" si="3"/>
        <v>4599</v>
      </c>
      <c r="Q25" s="96">
        <f t="shared" si="3"/>
        <v>2647</v>
      </c>
      <c r="R25" s="96">
        <f>SUM(R26:R34)</f>
        <v>197</v>
      </c>
      <c r="S25" s="96">
        <f>SUM(S26:S34)</f>
        <v>4645</v>
      </c>
      <c r="T25" s="96">
        <f>SUM(T26:T34)</f>
        <v>2676</v>
      </c>
    </row>
    <row r="26" spans="1:20" s="33" customFormat="1" ht="21.75" customHeight="1">
      <c r="A26" s="97">
        <v>1</v>
      </c>
      <c r="B26" s="93" t="s">
        <v>173</v>
      </c>
      <c r="C26" s="98">
        <v>8</v>
      </c>
      <c r="D26" s="215">
        <v>280</v>
      </c>
      <c r="E26" s="215">
        <v>280</v>
      </c>
      <c r="F26" s="98">
        <v>8</v>
      </c>
      <c r="G26" s="215">
        <v>280</v>
      </c>
      <c r="H26" s="215">
        <v>280</v>
      </c>
      <c r="I26" s="98">
        <v>8</v>
      </c>
      <c r="J26" s="215">
        <v>280</v>
      </c>
      <c r="K26" s="215">
        <v>280</v>
      </c>
      <c r="L26" s="98">
        <v>8</v>
      </c>
      <c r="M26" s="215">
        <v>280</v>
      </c>
      <c r="N26" s="215">
        <v>280</v>
      </c>
      <c r="O26" s="98">
        <v>8</v>
      </c>
      <c r="P26" s="215">
        <v>280</v>
      </c>
      <c r="Q26" s="215">
        <v>280</v>
      </c>
      <c r="R26" s="98">
        <v>8</v>
      </c>
      <c r="S26" s="215">
        <v>280</v>
      </c>
      <c r="T26" s="215">
        <v>280</v>
      </c>
    </row>
    <row r="27" spans="1:20" s="33" customFormat="1" ht="21.75" customHeight="1">
      <c r="A27" s="97">
        <v>2</v>
      </c>
      <c r="B27" s="102" t="s">
        <v>185</v>
      </c>
      <c r="C27" s="169">
        <v>12</v>
      </c>
      <c r="D27" s="216">
        <v>405</v>
      </c>
      <c r="E27" s="216">
        <v>251</v>
      </c>
      <c r="F27" s="216">
        <v>12</v>
      </c>
      <c r="G27" s="216">
        <v>419</v>
      </c>
      <c r="H27" s="216">
        <v>252</v>
      </c>
      <c r="I27" s="216">
        <v>13</v>
      </c>
      <c r="J27" s="216">
        <v>434</v>
      </c>
      <c r="K27" s="216">
        <v>260</v>
      </c>
      <c r="L27" s="216">
        <v>13</v>
      </c>
      <c r="M27" s="216">
        <v>451</v>
      </c>
      <c r="N27" s="216">
        <v>266</v>
      </c>
      <c r="O27" s="216">
        <v>13</v>
      </c>
      <c r="P27" s="215">
        <v>465</v>
      </c>
      <c r="Q27" s="215">
        <v>276</v>
      </c>
      <c r="R27" s="216">
        <v>13</v>
      </c>
      <c r="S27" s="215">
        <v>472</v>
      </c>
      <c r="T27" s="215">
        <v>281</v>
      </c>
    </row>
    <row r="28" spans="1:20" s="33" customFormat="1" ht="21.75" customHeight="1">
      <c r="A28" s="97">
        <v>3</v>
      </c>
      <c r="B28" s="102" t="s">
        <v>186</v>
      </c>
      <c r="C28" s="169">
        <v>30</v>
      </c>
      <c r="D28" s="216">
        <v>401</v>
      </c>
      <c r="E28" s="216">
        <v>160</v>
      </c>
      <c r="F28" s="216">
        <v>30</v>
      </c>
      <c r="G28" s="216">
        <v>410</v>
      </c>
      <c r="H28" s="216">
        <v>246</v>
      </c>
      <c r="I28" s="216">
        <v>31</v>
      </c>
      <c r="J28" s="216">
        <v>406</v>
      </c>
      <c r="K28" s="216">
        <v>263</v>
      </c>
      <c r="L28" s="216">
        <v>32</v>
      </c>
      <c r="M28" s="216">
        <v>416</v>
      </c>
      <c r="N28" s="216">
        <v>291</v>
      </c>
      <c r="O28" s="216">
        <v>32</v>
      </c>
      <c r="P28" s="215">
        <v>416</v>
      </c>
      <c r="Q28" s="215">
        <v>291</v>
      </c>
      <c r="R28" s="216">
        <v>32</v>
      </c>
      <c r="S28" s="215">
        <v>416</v>
      </c>
      <c r="T28" s="215">
        <v>291</v>
      </c>
    </row>
    <row r="29" spans="1:20" s="33" customFormat="1" ht="21.75" customHeight="1">
      <c r="A29" s="97">
        <v>4</v>
      </c>
      <c r="B29" s="102" t="s">
        <v>187</v>
      </c>
      <c r="C29" s="169">
        <v>33</v>
      </c>
      <c r="D29" s="216">
        <v>300</v>
      </c>
      <c r="E29" s="216">
        <v>104</v>
      </c>
      <c r="F29" s="216">
        <v>34</v>
      </c>
      <c r="G29" s="216">
        <v>317</v>
      </c>
      <c r="H29" s="216">
        <v>98</v>
      </c>
      <c r="I29" s="216">
        <v>35</v>
      </c>
      <c r="J29" s="216">
        <v>320</v>
      </c>
      <c r="K29" s="216">
        <v>110</v>
      </c>
      <c r="L29" s="216">
        <v>35</v>
      </c>
      <c r="M29" s="216">
        <v>330</v>
      </c>
      <c r="N29" s="216">
        <v>97</v>
      </c>
      <c r="O29" s="216">
        <v>35</v>
      </c>
      <c r="P29" s="215">
        <v>338</v>
      </c>
      <c r="Q29" s="215">
        <v>102</v>
      </c>
      <c r="R29" s="216">
        <v>35</v>
      </c>
      <c r="S29" s="215">
        <v>342</v>
      </c>
      <c r="T29" s="215">
        <v>105</v>
      </c>
    </row>
    <row r="30" spans="1:20" s="33" customFormat="1" ht="21.75" customHeight="1">
      <c r="A30" s="97">
        <v>5</v>
      </c>
      <c r="B30" s="102" t="s">
        <v>188</v>
      </c>
      <c r="C30" s="169">
        <v>33</v>
      </c>
      <c r="D30" s="216">
        <v>769</v>
      </c>
      <c r="E30" s="216">
        <v>268</v>
      </c>
      <c r="F30" s="216">
        <v>34</v>
      </c>
      <c r="G30" s="216">
        <v>779</v>
      </c>
      <c r="H30" s="216">
        <v>304</v>
      </c>
      <c r="I30" s="216">
        <v>34</v>
      </c>
      <c r="J30" s="216">
        <v>785</v>
      </c>
      <c r="K30" s="216">
        <v>318</v>
      </c>
      <c r="L30" s="216">
        <v>34</v>
      </c>
      <c r="M30" s="216">
        <v>790</v>
      </c>
      <c r="N30" s="216">
        <v>335</v>
      </c>
      <c r="O30" s="216">
        <v>34</v>
      </c>
      <c r="P30" s="216">
        <v>790</v>
      </c>
      <c r="Q30" s="216">
        <v>335</v>
      </c>
      <c r="R30" s="216">
        <v>34</v>
      </c>
      <c r="S30" s="216">
        <v>790</v>
      </c>
      <c r="T30" s="216">
        <v>335</v>
      </c>
    </row>
    <row r="31" spans="1:20" s="33" customFormat="1" ht="21.75" customHeight="1">
      <c r="A31" s="97">
        <v>6</v>
      </c>
      <c r="B31" s="102" t="s">
        <v>258</v>
      </c>
      <c r="C31" s="169">
        <v>8</v>
      </c>
      <c r="D31" s="216">
        <v>239</v>
      </c>
      <c r="E31" s="216">
        <v>138</v>
      </c>
      <c r="F31" s="216">
        <v>8</v>
      </c>
      <c r="G31" s="216">
        <v>280</v>
      </c>
      <c r="H31" s="216">
        <v>169</v>
      </c>
      <c r="I31" s="216">
        <v>8</v>
      </c>
      <c r="J31" s="216">
        <v>261</v>
      </c>
      <c r="K31" s="216">
        <v>148</v>
      </c>
      <c r="L31" s="216">
        <v>8</v>
      </c>
      <c r="M31" s="216">
        <v>280</v>
      </c>
      <c r="N31" s="216">
        <v>157</v>
      </c>
      <c r="O31" s="216">
        <v>8</v>
      </c>
      <c r="P31" s="215">
        <v>295</v>
      </c>
      <c r="Q31" s="215">
        <v>165</v>
      </c>
      <c r="R31" s="216">
        <v>8</v>
      </c>
      <c r="S31" s="215">
        <v>298</v>
      </c>
      <c r="T31" s="215">
        <v>166</v>
      </c>
    </row>
    <row r="32" spans="1:20" s="33" customFormat="1" ht="21.75" customHeight="1">
      <c r="A32" s="97">
        <v>7</v>
      </c>
      <c r="B32" s="102" t="s">
        <v>251</v>
      </c>
      <c r="C32" s="169">
        <v>44</v>
      </c>
      <c r="D32" s="216">
        <v>904</v>
      </c>
      <c r="E32" s="216">
        <v>556</v>
      </c>
      <c r="F32" s="216">
        <v>45</v>
      </c>
      <c r="G32" s="216">
        <v>1017</v>
      </c>
      <c r="H32" s="216">
        <v>594</v>
      </c>
      <c r="I32" s="216">
        <v>45</v>
      </c>
      <c r="J32" s="216">
        <v>1067</v>
      </c>
      <c r="K32" s="216">
        <v>639</v>
      </c>
      <c r="L32" s="216">
        <v>46</v>
      </c>
      <c r="M32" s="216">
        <v>1120</v>
      </c>
      <c r="N32" s="216">
        <v>645</v>
      </c>
      <c r="O32" s="216">
        <v>46</v>
      </c>
      <c r="P32" s="215">
        <v>1120</v>
      </c>
      <c r="Q32" s="215">
        <v>645</v>
      </c>
      <c r="R32" s="216">
        <v>46</v>
      </c>
      <c r="S32" s="215">
        <v>1120</v>
      </c>
      <c r="T32" s="215">
        <v>645</v>
      </c>
    </row>
    <row r="33" spans="1:20" s="33" customFormat="1" ht="21.75" customHeight="1">
      <c r="A33" s="97">
        <v>8</v>
      </c>
      <c r="B33" s="102" t="s">
        <v>252</v>
      </c>
      <c r="C33" s="169">
        <v>8</v>
      </c>
      <c r="D33" s="216">
        <v>285</v>
      </c>
      <c r="E33" s="216">
        <v>210</v>
      </c>
      <c r="F33" s="216">
        <v>8</v>
      </c>
      <c r="G33" s="216">
        <v>320</v>
      </c>
      <c r="H33" s="216">
        <v>228</v>
      </c>
      <c r="I33" s="216">
        <v>9</v>
      </c>
      <c r="J33" s="216">
        <v>338</v>
      </c>
      <c r="K33" s="216">
        <v>229</v>
      </c>
      <c r="L33" s="216">
        <v>9</v>
      </c>
      <c r="M33" s="216">
        <v>380</v>
      </c>
      <c r="N33" s="216">
        <v>265</v>
      </c>
      <c r="O33" s="216">
        <v>9</v>
      </c>
      <c r="P33" s="215">
        <v>390</v>
      </c>
      <c r="Q33" s="215">
        <v>274</v>
      </c>
      <c r="R33" s="216">
        <v>9</v>
      </c>
      <c r="S33" s="215">
        <v>395</v>
      </c>
      <c r="T33" s="215">
        <v>278</v>
      </c>
    </row>
    <row r="34" spans="1:20" s="33" customFormat="1" ht="21.75" customHeight="1">
      <c r="A34" s="97">
        <v>9</v>
      </c>
      <c r="B34" s="102" t="s">
        <v>254</v>
      </c>
      <c r="C34" s="169">
        <v>11</v>
      </c>
      <c r="D34" s="216">
        <v>436</v>
      </c>
      <c r="E34" s="216">
        <v>252</v>
      </c>
      <c r="F34" s="216">
        <v>11</v>
      </c>
      <c r="G34" s="216">
        <v>466</v>
      </c>
      <c r="H34" s="216">
        <v>243</v>
      </c>
      <c r="I34" s="216">
        <v>11</v>
      </c>
      <c r="J34" s="216">
        <v>466</v>
      </c>
      <c r="K34" s="216">
        <v>247</v>
      </c>
      <c r="L34" s="216">
        <v>12</v>
      </c>
      <c r="M34" s="216">
        <v>500</v>
      </c>
      <c r="N34" s="216">
        <v>270</v>
      </c>
      <c r="O34" s="216">
        <v>12</v>
      </c>
      <c r="P34" s="215">
        <v>505</v>
      </c>
      <c r="Q34" s="215">
        <v>279</v>
      </c>
      <c r="R34" s="216">
        <v>12</v>
      </c>
      <c r="S34" s="215">
        <v>532</v>
      </c>
      <c r="T34" s="215">
        <v>295</v>
      </c>
    </row>
    <row r="35" spans="1:20" s="8" customFormat="1" ht="21.75" customHeight="1">
      <c r="A35" s="102"/>
      <c r="B35" s="99" t="s">
        <v>82</v>
      </c>
      <c r="C35" s="211">
        <f aca="true" t="shared" si="4" ref="C35:Q35">C25+C15+C11+C6+C5</f>
        <v>402</v>
      </c>
      <c r="D35" s="96">
        <f t="shared" si="4"/>
        <v>8762</v>
      </c>
      <c r="E35" s="96">
        <f t="shared" si="4"/>
        <v>5367</v>
      </c>
      <c r="F35" s="96">
        <f t="shared" si="4"/>
        <v>406</v>
      </c>
      <c r="G35" s="96">
        <f t="shared" si="4"/>
        <v>9254</v>
      </c>
      <c r="H35" s="96">
        <f t="shared" si="4"/>
        <v>5646</v>
      </c>
      <c r="I35" s="96">
        <f t="shared" si="4"/>
        <v>408</v>
      </c>
      <c r="J35" s="96">
        <f t="shared" si="4"/>
        <v>9377</v>
      </c>
      <c r="K35" s="96">
        <f t="shared" si="4"/>
        <v>5849</v>
      </c>
      <c r="L35" s="96">
        <f t="shared" si="4"/>
        <v>411</v>
      </c>
      <c r="M35" s="96">
        <f t="shared" si="4"/>
        <v>9659</v>
      </c>
      <c r="N35" s="96">
        <f t="shared" si="4"/>
        <v>6044</v>
      </c>
      <c r="O35" s="96">
        <f t="shared" si="4"/>
        <v>411</v>
      </c>
      <c r="P35" s="96">
        <f t="shared" si="4"/>
        <v>9741</v>
      </c>
      <c r="Q35" s="96">
        <f t="shared" si="4"/>
        <v>6111</v>
      </c>
      <c r="R35" s="96">
        <f>R25+R15+R11+R6+R5</f>
        <v>410</v>
      </c>
      <c r="S35" s="96">
        <f>S25+S15+S11+S6+S5</f>
        <v>9823</v>
      </c>
      <c r="T35" s="96">
        <f>T25+T15+T11+T6+T5</f>
        <v>6167</v>
      </c>
    </row>
    <row r="36" spans="1:20" s="8" customFormat="1" ht="21.75" customHeight="1">
      <c r="A36" s="98"/>
      <c r="B36" s="98" t="s">
        <v>196</v>
      </c>
      <c r="C36" s="151">
        <f aca="true" t="shared" si="5" ref="C36:Q36">C5+C7+C12+C16+C26</f>
        <v>40</v>
      </c>
      <c r="D36" s="65">
        <f t="shared" si="5"/>
        <v>1278</v>
      </c>
      <c r="E36" s="65">
        <f t="shared" si="5"/>
        <v>1278</v>
      </c>
      <c r="F36" s="70">
        <f t="shared" si="5"/>
        <v>41</v>
      </c>
      <c r="G36" s="65">
        <f t="shared" si="5"/>
        <v>1321</v>
      </c>
      <c r="H36" s="65">
        <f t="shared" si="5"/>
        <v>1321</v>
      </c>
      <c r="I36" s="70">
        <f t="shared" si="5"/>
        <v>42</v>
      </c>
      <c r="J36" s="65">
        <f t="shared" si="5"/>
        <v>1376</v>
      </c>
      <c r="K36" s="65">
        <f t="shared" si="5"/>
        <v>1376</v>
      </c>
      <c r="L36" s="70">
        <f t="shared" si="5"/>
        <v>42</v>
      </c>
      <c r="M36" s="65">
        <f t="shared" si="5"/>
        <v>1410</v>
      </c>
      <c r="N36" s="65">
        <f t="shared" si="5"/>
        <v>1410</v>
      </c>
      <c r="O36" s="70">
        <f t="shared" si="5"/>
        <v>42</v>
      </c>
      <c r="P36" s="65">
        <f t="shared" si="5"/>
        <v>1410</v>
      </c>
      <c r="Q36" s="65">
        <f t="shared" si="5"/>
        <v>1410</v>
      </c>
      <c r="R36" s="70">
        <f>R5+R7+R12+R16+R26</f>
        <v>42</v>
      </c>
      <c r="S36" s="65">
        <f>S5+S7+S12+S16+S26</f>
        <v>1410</v>
      </c>
      <c r="T36" s="65">
        <f>T5+T7+T12+T16+T26</f>
        <v>1410</v>
      </c>
    </row>
    <row r="37" spans="1:20" s="8" customFormat="1" ht="21.75" customHeight="1">
      <c r="A37" s="98"/>
      <c r="B37" s="98" t="s">
        <v>197</v>
      </c>
      <c r="C37" s="151">
        <f>C35-C36</f>
        <v>362</v>
      </c>
      <c r="D37" s="65">
        <f>D35-D36</f>
        <v>7484</v>
      </c>
      <c r="E37" s="65">
        <f aca="true" t="shared" si="6" ref="E37:Q37">E35-E36</f>
        <v>4089</v>
      </c>
      <c r="F37" s="65"/>
      <c r="G37" s="65">
        <f t="shared" si="6"/>
        <v>7933</v>
      </c>
      <c r="H37" s="65">
        <f t="shared" si="6"/>
        <v>4325</v>
      </c>
      <c r="I37" s="65"/>
      <c r="J37" s="65">
        <f t="shared" si="6"/>
        <v>8001</v>
      </c>
      <c r="K37" s="65">
        <f t="shared" si="6"/>
        <v>4473</v>
      </c>
      <c r="L37" s="65"/>
      <c r="M37" s="65">
        <f>M35-M36</f>
        <v>8249</v>
      </c>
      <c r="N37" s="65">
        <f>N35-N36</f>
        <v>4634</v>
      </c>
      <c r="O37" s="65"/>
      <c r="P37" s="65">
        <f t="shared" si="6"/>
        <v>8331</v>
      </c>
      <c r="Q37" s="65">
        <f t="shared" si="6"/>
        <v>4701</v>
      </c>
      <c r="R37" s="65"/>
      <c r="S37" s="65">
        <f>S35-S36</f>
        <v>8413</v>
      </c>
      <c r="T37" s="65">
        <f>T35-T36</f>
        <v>4757</v>
      </c>
    </row>
    <row r="38" s="8" customFormat="1" ht="16.5"/>
    <row r="39" s="8" customFormat="1" ht="16.5"/>
    <row r="40" s="8" customFormat="1" ht="16.5"/>
    <row r="41" s="8" customFormat="1" ht="16.5"/>
    <row r="42" s="8" customFormat="1" ht="16.5"/>
    <row r="43" s="8" customFormat="1" ht="16.5"/>
    <row r="44" s="8" customFormat="1" ht="16.5"/>
    <row r="45" s="8" customFormat="1" ht="16.5"/>
    <row r="46" s="8" customFormat="1" ht="16.5"/>
    <row r="47" s="8" customFormat="1" ht="16.5"/>
    <row r="48" s="8" customFormat="1" ht="16.5"/>
    <row r="49" s="8" customFormat="1" ht="16.5"/>
    <row r="50" s="8" customFormat="1" ht="16.5"/>
    <row r="51" s="8" customFormat="1" ht="16.5"/>
    <row r="52" s="8" customFormat="1" ht="16.5"/>
    <row r="53" s="8" customFormat="1" ht="16.5"/>
    <row r="54" s="8" customFormat="1" ht="16.5"/>
    <row r="55" s="8" customFormat="1" ht="16.5"/>
    <row r="56" s="8" customFormat="1" ht="16.5"/>
    <row r="57" s="8" customFormat="1" ht="16.5"/>
    <row r="58" s="8" customFormat="1" ht="16.5"/>
    <row r="59" s="8" customFormat="1" ht="16.5"/>
    <row r="60" s="8" customFormat="1" ht="16.5"/>
    <row r="61" s="8" customFormat="1" ht="16.5"/>
    <row r="62" s="8" customFormat="1" ht="16.5"/>
    <row r="63" s="8" customFormat="1" ht="16.5"/>
    <row r="64" s="8" customFormat="1" ht="16.5"/>
    <row r="65" s="8" customFormat="1" ht="16.5"/>
    <row r="66" s="8" customFormat="1" ht="16.5"/>
    <row r="67" s="8" customFormat="1" ht="16.5"/>
    <row r="68" s="8" customFormat="1" ht="16.5"/>
    <row r="69" s="8" customFormat="1" ht="16.5"/>
    <row r="70" s="8" customFormat="1" ht="16.5"/>
    <row r="71" s="8" customFormat="1" ht="16.5"/>
    <row r="72" s="8" customFormat="1" ht="16.5"/>
    <row r="73" s="8" customFormat="1" ht="16.5"/>
    <row r="74" s="8" customFormat="1" ht="16.5"/>
    <row r="75" s="8" customFormat="1" ht="16.5"/>
    <row r="76" s="8" customFormat="1" ht="16.5"/>
    <row r="77" s="8" customFormat="1" ht="16.5"/>
    <row r="78" s="8" customFormat="1" ht="16.5"/>
    <row r="79" s="8" customFormat="1" ht="16.5"/>
    <row r="80" s="8" customFormat="1" ht="16.5"/>
    <row r="81" s="8" customFormat="1" ht="16.5"/>
    <row r="82" s="8" customFormat="1" ht="16.5"/>
    <row r="83" s="8" customFormat="1" ht="16.5"/>
    <row r="84" s="8" customFormat="1" ht="16.5"/>
    <row r="85" s="8" customFormat="1" ht="16.5"/>
    <row r="86" s="8" customFormat="1" ht="16.5"/>
    <row r="87" s="8" customFormat="1" ht="16.5"/>
    <row r="88" s="8" customFormat="1" ht="16.5"/>
    <row r="89" s="8" customFormat="1" ht="16.5"/>
    <row r="90" s="8" customFormat="1" ht="16.5"/>
    <row r="91" s="8" customFormat="1" ht="16.5"/>
    <row r="92" s="8" customFormat="1" ht="16.5"/>
    <row r="93" s="8" customFormat="1" ht="16.5"/>
    <row r="94" s="8" customFormat="1" ht="16.5"/>
    <row r="95" s="8" customFormat="1" ht="16.5"/>
    <row r="96" s="8" customFormat="1" ht="16.5"/>
    <row r="97" s="8" customFormat="1" ht="16.5"/>
    <row r="98" s="8" customFormat="1" ht="16.5"/>
    <row r="99" s="8" customFormat="1" ht="16.5"/>
    <row r="100" s="8" customFormat="1" ht="16.5"/>
    <row r="101" s="8" customFormat="1" ht="16.5"/>
    <row r="102" s="8" customFormat="1" ht="16.5"/>
    <row r="103" s="8" customFormat="1" ht="16.5"/>
    <row r="104" s="8" customFormat="1" ht="16.5"/>
    <row r="105" s="8" customFormat="1" ht="16.5"/>
    <row r="106" s="8" customFormat="1" ht="16.5"/>
    <row r="107" s="8" customFormat="1" ht="16.5"/>
    <row r="108" s="8" customFormat="1" ht="16.5"/>
    <row r="109" s="8" customFormat="1" ht="16.5"/>
    <row r="110" s="8" customFormat="1" ht="16.5"/>
    <row r="111" s="8" customFormat="1" ht="16.5"/>
    <row r="112" s="8" customFormat="1" ht="16.5"/>
    <row r="113" s="8" customFormat="1" ht="16.5"/>
    <row r="114" s="8" customFormat="1" ht="16.5"/>
    <row r="115" s="8" customFormat="1" ht="16.5"/>
    <row r="116" s="8" customFormat="1" ht="16.5"/>
    <row r="117" s="8" customFormat="1" ht="16.5"/>
    <row r="118" s="8" customFormat="1" ht="16.5"/>
    <row r="119" s="8" customFormat="1" ht="16.5"/>
    <row r="120" s="8" customFormat="1" ht="16.5"/>
    <row r="121" s="8" customFormat="1" ht="16.5"/>
    <row r="122" s="8" customFormat="1" ht="16.5"/>
    <row r="123" s="8" customFormat="1" ht="16.5"/>
    <row r="124" s="8" customFormat="1" ht="16.5"/>
    <row r="125" s="8" customFormat="1" ht="16.5"/>
    <row r="126" s="8" customFormat="1" ht="16.5"/>
    <row r="127" s="8" customFormat="1" ht="16.5"/>
    <row r="128" s="8" customFormat="1" ht="16.5"/>
    <row r="129" s="8" customFormat="1" ht="16.5"/>
    <row r="130" s="8" customFormat="1" ht="16.5"/>
    <row r="131" s="8" customFormat="1" ht="16.5"/>
    <row r="132" s="8" customFormat="1" ht="16.5"/>
    <row r="133" s="8" customFormat="1" ht="16.5"/>
    <row r="134" s="8" customFormat="1" ht="16.5"/>
    <row r="135" s="8" customFormat="1" ht="16.5"/>
    <row r="136" s="8" customFormat="1" ht="16.5"/>
    <row r="137" s="8" customFormat="1" ht="16.5"/>
    <row r="138" s="8" customFormat="1" ht="16.5"/>
    <row r="139" s="8" customFormat="1" ht="16.5"/>
    <row r="140" s="8" customFormat="1" ht="16.5"/>
    <row r="141" s="8" customFormat="1" ht="16.5"/>
    <row r="142" s="8" customFormat="1" ht="16.5"/>
    <row r="143" s="8" customFormat="1" ht="16.5"/>
    <row r="144" s="8" customFormat="1" ht="16.5"/>
    <row r="145" s="8" customFormat="1" ht="16.5"/>
    <row r="146" s="8" customFormat="1" ht="16.5"/>
    <row r="147" s="8" customFormat="1" ht="16.5"/>
    <row r="148" s="8" customFormat="1" ht="16.5"/>
    <row r="149" s="8" customFormat="1" ht="16.5"/>
    <row r="150" s="8" customFormat="1" ht="16.5"/>
    <row r="151" s="8" customFormat="1" ht="16.5"/>
    <row r="152" s="8" customFormat="1" ht="16.5"/>
    <row r="153" s="8" customFormat="1" ht="16.5"/>
    <row r="154" s="8" customFormat="1" ht="16.5"/>
    <row r="155" s="8" customFormat="1" ht="16.5"/>
    <row r="156" s="8" customFormat="1" ht="16.5"/>
    <row r="157" s="8" customFormat="1" ht="16.5"/>
    <row r="158" s="8" customFormat="1" ht="16.5"/>
    <row r="159" s="8" customFormat="1" ht="16.5"/>
    <row r="160" s="8" customFormat="1" ht="16.5"/>
    <row r="161" s="8" customFormat="1" ht="16.5"/>
    <row r="162" s="8" customFormat="1" ht="16.5"/>
    <row r="163" s="8" customFormat="1" ht="16.5"/>
    <row r="164" s="8" customFormat="1" ht="16.5"/>
    <row r="165" s="8" customFormat="1" ht="16.5"/>
    <row r="166" s="8" customFormat="1" ht="16.5"/>
    <row r="167" s="8" customFormat="1" ht="16.5"/>
    <row r="168" s="8" customFormat="1" ht="16.5"/>
    <row r="169" s="8" customFormat="1" ht="16.5"/>
    <row r="170" s="8" customFormat="1" ht="16.5"/>
    <row r="171" s="8" customFormat="1" ht="16.5"/>
    <row r="172" s="8" customFormat="1" ht="16.5"/>
    <row r="173" s="8" customFormat="1" ht="16.5"/>
    <row r="174" s="8" customFormat="1" ht="16.5"/>
    <row r="175" s="8" customFormat="1" ht="16.5"/>
    <row r="176" s="8" customFormat="1" ht="16.5"/>
    <row r="177" s="8" customFormat="1" ht="16.5"/>
    <row r="178" s="8" customFormat="1" ht="16.5"/>
    <row r="179" s="8" customFormat="1" ht="16.5"/>
    <row r="180" s="8" customFormat="1" ht="16.5"/>
    <row r="181" s="8" customFormat="1" ht="16.5"/>
    <row r="182" s="8" customFormat="1" ht="16.5"/>
    <row r="183" s="8" customFormat="1" ht="16.5"/>
    <row r="184" s="8" customFormat="1" ht="16.5"/>
    <row r="185" s="8" customFormat="1" ht="16.5"/>
    <row r="186" s="8" customFormat="1" ht="16.5"/>
    <row r="187" s="8" customFormat="1" ht="16.5"/>
    <row r="188" s="8" customFormat="1" ht="16.5"/>
    <row r="189" s="8" customFormat="1" ht="16.5"/>
    <row r="190" s="8" customFormat="1" ht="16.5"/>
    <row r="191" s="8" customFormat="1" ht="16.5"/>
    <row r="192" s="8" customFormat="1" ht="16.5"/>
    <row r="193" s="8" customFormat="1" ht="16.5"/>
    <row r="194" s="8" customFormat="1" ht="16.5"/>
    <row r="195" s="8" customFormat="1" ht="16.5"/>
    <row r="196" s="8" customFormat="1" ht="16.5"/>
    <row r="197" s="8" customFormat="1" ht="16.5"/>
    <row r="198" s="8" customFormat="1" ht="16.5"/>
    <row r="199" s="8" customFormat="1" ht="16.5"/>
    <row r="200" s="8" customFormat="1" ht="16.5"/>
    <row r="201" s="8" customFormat="1" ht="16.5"/>
    <row r="202" s="8" customFormat="1" ht="16.5"/>
    <row r="203" s="8" customFormat="1" ht="16.5"/>
    <row r="204" s="8" customFormat="1" ht="16.5"/>
    <row r="205" s="8" customFormat="1" ht="16.5"/>
    <row r="206" s="8" customFormat="1" ht="16.5"/>
    <row r="207" s="8" customFormat="1" ht="16.5"/>
    <row r="208" s="8" customFormat="1" ht="16.5"/>
    <row r="209" s="8" customFormat="1" ht="16.5"/>
    <row r="210" s="8" customFormat="1" ht="16.5"/>
    <row r="211" s="8" customFormat="1" ht="16.5"/>
    <row r="212" s="8" customFormat="1" ht="16.5"/>
    <row r="213" s="8" customFormat="1" ht="16.5"/>
    <row r="214" s="8" customFormat="1" ht="16.5"/>
    <row r="215" s="8" customFormat="1" ht="16.5"/>
    <row r="216" s="8" customFormat="1" ht="16.5"/>
    <row r="217" s="8" customFormat="1" ht="16.5"/>
    <row r="218" s="8" customFormat="1" ht="16.5"/>
    <row r="219" s="8" customFormat="1" ht="16.5"/>
    <row r="220" s="8" customFormat="1" ht="16.5"/>
    <row r="221" s="8" customFormat="1" ht="16.5"/>
    <row r="222" s="8" customFormat="1" ht="16.5"/>
    <row r="223" s="8" customFormat="1" ht="16.5"/>
    <row r="224" s="8" customFormat="1" ht="16.5"/>
    <row r="225" s="8" customFormat="1" ht="16.5"/>
    <row r="226" s="8" customFormat="1" ht="16.5"/>
    <row r="227" s="8" customFormat="1" ht="16.5"/>
    <row r="228" s="8" customFormat="1" ht="16.5"/>
    <row r="229" s="8" customFormat="1" ht="16.5"/>
    <row r="230" s="8" customFormat="1" ht="16.5"/>
    <row r="231" s="8" customFormat="1" ht="16.5"/>
    <row r="232" s="8" customFormat="1" ht="16.5"/>
    <row r="233" s="8" customFormat="1" ht="16.5"/>
    <row r="234" s="8" customFormat="1" ht="16.5"/>
    <row r="235" s="8" customFormat="1" ht="16.5"/>
    <row r="236" s="8" customFormat="1" ht="16.5"/>
    <row r="237" s="8" customFormat="1" ht="16.5"/>
    <row r="238" s="8" customFormat="1" ht="16.5"/>
    <row r="239" s="8" customFormat="1" ht="16.5"/>
    <row r="240" s="8" customFormat="1" ht="16.5"/>
    <row r="241" s="8" customFormat="1" ht="16.5"/>
    <row r="242" s="8" customFormat="1" ht="16.5"/>
    <row r="243" s="8" customFormat="1" ht="16.5"/>
    <row r="244" s="8" customFormat="1" ht="16.5"/>
    <row r="245" s="8" customFormat="1" ht="16.5"/>
    <row r="246" s="8" customFormat="1" ht="16.5"/>
    <row r="247" s="8" customFormat="1" ht="16.5"/>
    <row r="248" s="8" customFormat="1" ht="16.5"/>
    <row r="249" s="8" customFormat="1" ht="16.5"/>
    <row r="250" s="8" customFormat="1" ht="16.5"/>
    <row r="251" s="8" customFormat="1" ht="16.5"/>
    <row r="252" s="8" customFormat="1" ht="16.5"/>
    <row r="253" s="8" customFormat="1" ht="16.5"/>
    <row r="254" s="8" customFormat="1" ht="16.5"/>
    <row r="255" s="8" customFormat="1" ht="16.5"/>
    <row r="256" s="8" customFormat="1" ht="16.5"/>
    <row r="257" s="8" customFormat="1" ht="16.5"/>
    <row r="258" s="8" customFormat="1" ht="16.5"/>
    <row r="259" s="8" customFormat="1" ht="16.5"/>
    <row r="260" s="8" customFormat="1" ht="16.5"/>
    <row r="261" s="8" customFormat="1" ht="16.5"/>
    <row r="262" s="8" customFormat="1" ht="16.5"/>
    <row r="263" s="8" customFormat="1" ht="16.5"/>
    <row r="264" s="8" customFormat="1" ht="16.5"/>
    <row r="265" s="8" customFormat="1" ht="16.5"/>
    <row r="266" s="8" customFormat="1" ht="16.5"/>
    <row r="267" s="8" customFormat="1" ht="16.5"/>
    <row r="268" s="8" customFormat="1" ht="16.5"/>
    <row r="269" s="8" customFormat="1" ht="16.5"/>
    <row r="270" s="8" customFormat="1" ht="16.5"/>
    <row r="271" s="8" customFormat="1" ht="16.5"/>
    <row r="272" s="8" customFormat="1" ht="16.5"/>
    <row r="273" s="8" customFormat="1" ht="16.5"/>
    <row r="274" s="8" customFormat="1" ht="16.5"/>
    <row r="275" s="8" customFormat="1" ht="16.5"/>
    <row r="276" s="8" customFormat="1" ht="16.5"/>
    <row r="277" s="8" customFormat="1" ht="16.5"/>
    <row r="278" s="8" customFormat="1" ht="16.5"/>
    <row r="279" s="8" customFormat="1" ht="16.5"/>
    <row r="280" s="8" customFormat="1" ht="16.5"/>
    <row r="281" s="8" customFormat="1" ht="16.5"/>
    <row r="282" s="8" customFormat="1" ht="16.5"/>
    <row r="283" s="8" customFormat="1" ht="16.5"/>
    <row r="284" s="8" customFormat="1" ht="16.5"/>
    <row r="285" s="8" customFormat="1" ht="16.5"/>
    <row r="286" s="8" customFormat="1" ht="16.5"/>
    <row r="287" s="8" customFormat="1" ht="16.5"/>
    <row r="288" s="8" customFormat="1" ht="16.5"/>
    <row r="289" s="8" customFormat="1" ht="16.5"/>
    <row r="290" s="8" customFormat="1" ht="16.5"/>
    <row r="291" s="8" customFormat="1" ht="16.5"/>
    <row r="292" s="8" customFormat="1" ht="16.5"/>
    <row r="293" s="8" customFormat="1" ht="16.5"/>
    <row r="294" s="8" customFormat="1" ht="16.5"/>
    <row r="295" s="8" customFormat="1" ht="16.5"/>
    <row r="296" s="8" customFormat="1" ht="16.5"/>
    <row r="297" s="8" customFormat="1" ht="16.5"/>
    <row r="298" s="8" customFormat="1" ht="16.5"/>
    <row r="299" s="8" customFormat="1" ht="16.5"/>
    <row r="300" s="8" customFormat="1" ht="16.5"/>
    <row r="301" s="8" customFormat="1" ht="16.5"/>
    <row r="302" s="8" customFormat="1" ht="16.5"/>
    <row r="303" s="8" customFormat="1" ht="16.5"/>
    <row r="304" s="8" customFormat="1" ht="16.5"/>
    <row r="305" s="8" customFormat="1" ht="16.5"/>
    <row r="306" s="8" customFormat="1" ht="16.5"/>
    <row r="307" s="8" customFormat="1" ht="16.5"/>
    <row r="308" s="8" customFormat="1" ht="16.5"/>
    <row r="309" s="8" customFormat="1" ht="16.5"/>
    <row r="310" s="8" customFormat="1" ht="16.5"/>
    <row r="311" s="8" customFormat="1" ht="16.5"/>
    <row r="312" s="8" customFormat="1" ht="16.5"/>
    <row r="313" s="8" customFormat="1" ht="16.5"/>
    <row r="314" s="8" customFormat="1" ht="16.5"/>
    <row r="315" s="8" customFormat="1" ht="16.5"/>
    <row r="316" s="8" customFormat="1" ht="16.5"/>
    <row r="317" s="8" customFormat="1" ht="16.5"/>
    <row r="318" s="8" customFormat="1" ht="16.5"/>
    <row r="319" s="8" customFormat="1" ht="16.5"/>
    <row r="320" s="8" customFormat="1" ht="16.5"/>
    <row r="321" s="8" customFormat="1" ht="16.5"/>
    <row r="322" s="8" customFormat="1" ht="16.5"/>
    <row r="323" s="8" customFormat="1" ht="16.5"/>
    <row r="324" s="8" customFormat="1" ht="16.5"/>
    <row r="325" s="8" customFormat="1" ht="16.5"/>
    <row r="326" s="8" customFormat="1" ht="16.5"/>
    <row r="327" s="8" customFormat="1" ht="16.5"/>
    <row r="328" s="8" customFormat="1" ht="16.5"/>
    <row r="329" s="8" customFormat="1" ht="16.5"/>
    <row r="330" s="8" customFormat="1" ht="16.5"/>
    <row r="331" s="8" customFormat="1" ht="16.5"/>
    <row r="332" s="8" customFormat="1" ht="16.5"/>
    <row r="333" s="8" customFormat="1" ht="16.5"/>
    <row r="334" s="8" customFormat="1" ht="16.5"/>
    <row r="335" s="8" customFormat="1" ht="16.5"/>
    <row r="336" s="8" customFormat="1" ht="16.5"/>
    <row r="337" s="8" customFormat="1" ht="16.5"/>
    <row r="338" s="8" customFormat="1" ht="16.5"/>
    <row r="339" s="8" customFormat="1" ht="16.5"/>
    <row r="340" s="8" customFormat="1" ht="16.5"/>
    <row r="341" s="8" customFormat="1" ht="16.5"/>
    <row r="342" s="8" customFormat="1" ht="16.5"/>
    <row r="343" s="8" customFormat="1" ht="16.5"/>
    <row r="344" s="8" customFormat="1" ht="16.5"/>
    <row r="345" s="8" customFormat="1" ht="16.5"/>
    <row r="346" s="8" customFormat="1" ht="16.5"/>
    <row r="347" s="8" customFormat="1" ht="16.5"/>
    <row r="348" s="8" customFormat="1" ht="16.5"/>
    <row r="349" s="8" customFormat="1" ht="16.5"/>
    <row r="350" s="8" customFormat="1" ht="16.5"/>
    <row r="351" s="8" customFormat="1" ht="16.5"/>
    <row r="352" s="8" customFormat="1" ht="16.5"/>
    <row r="353" s="8" customFormat="1" ht="16.5"/>
    <row r="354" s="8" customFormat="1" ht="16.5"/>
    <row r="355" s="8" customFormat="1" ht="16.5"/>
    <row r="356" s="8" customFormat="1" ht="16.5"/>
    <row r="357" s="8" customFormat="1" ht="16.5"/>
    <row r="358" s="8" customFormat="1" ht="16.5"/>
    <row r="359" s="8" customFormat="1" ht="16.5"/>
    <row r="360" s="8" customFormat="1" ht="16.5"/>
    <row r="361" s="8" customFormat="1" ht="16.5"/>
    <row r="362" s="8" customFormat="1" ht="16.5"/>
    <row r="363" s="8" customFormat="1" ht="16.5"/>
    <row r="364" s="8" customFormat="1" ht="16.5"/>
    <row r="365" s="8" customFormat="1" ht="16.5"/>
    <row r="366" s="8" customFormat="1" ht="16.5"/>
    <row r="367" s="8" customFormat="1" ht="16.5"/>
    <row r="368" s="8" customFormat="1" ht="16.5"/>
    <row r="369" s="8" customFormat="1" ht="16.5"/>
    <row r="370" s="8" customFormat="1" ht="16.5"/>
    <row r="371" s="8" customFormat="1" ht="16.5"/>
    <row r="372" s="8" customFormat="1" ht="16.5"/>
    <row r="373" s="8" customFormat="1" ht="16.5"/>
    <row r="374" s="8" customFormat="1" ht="16.5"/>
    <row r="375" s="8" customFormat="1" ht="16.5"/>
    <row r="376" s="8" customFormat="1" ht="16.5"/>
    <row r="377" s="8" customFormat="1" ht="16.5"/>
    <row r="378" s="8" customFormat="1" ht="16.5"/>
    <row r="379" s="8" customFormat="1" ht="16.5"/>
    <row r="380" s="8" customFormat="1" ht="16.5"/>
    <row r="381" s="8" customFormat="1" ht="16.5"/>
    <row r="382" s="8" customFormat="1" ht="16.5"/>
  </sheetData>
  <sheetProtection/>
  <mergeCells count="8">
    <mergeCell ref="R3:T3"/>
    <mergeCell ref="O3:Q3"/>
    <mergeCell ref="A3:A4"/>
    <mergeCell ref="B3:B4"/>
    <mergeCell ref="C3:E3"/>
    <mergeCell ref="F3:H3"/>
    <mergeCell ref="I3:K3"/>
    <mergeCell ref="L3:N3"/>
  </mergeCells>
  <printOptions horizontalCentered="1"/>
  <pageMargins left="0.5" right="0.5" top="0.75" bottom="0.5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85">
      <selection activeCell="A64" sqref="A64:IV64"/>
    </sheetView>
  </sheetViews>
  <sheetFormatPr defaultColWidth="9.140625" defaultRowHeight="12.75"/>
  <cols>
    <col min="1" max="1" width="6.00390625" style="36" customWidth="1"/>
    <col min="2" max="2" width="33.00390625" style="0" customWidth="1"/>
    <col min="3" max="3" width="7.00390625" style="0" customWidth="1"/>
    <col min="4" max="4" width="12.28125" style="0" customWidth="1"/>
    <col min="5" max="5" width="6.421875" style="0" customWidth="1"/>
    <col min="6" max="6" width="12.28125" style="0" customWidth="1"/>
    <col min="7" max="7" width="6.8515625" style="0" customWidth="1"/>
    <col min="8" max="8" width="12.28125" style="0" customWidth="1"/>
    <col min="9" max="9" width="6.7109375" style="0" customWidth="1"/>
    <col min="10" max="10" width="12.28125" style="0" customWidth="1"/>
    <col min="11" max="11" width="6.7109375" style="0" customWidth="1"/>
    <col min="12" max="12" width="12.28125" style="0" customWidth="1"/>
    <col min="13" max="13" width="6.7109375" style="0" customWidth="1"/>
    <col min="14" max="14" width="12.28125" style="0" customWidth="1"/>
    <col min="15" max="15" width="7.57421875" style="0" customWidth="1"/>
    <col min="16" max="16" width="12.28125" style="0" customWidth="1"/>
    <col min="18" max="18" width="9.140625" style="36" customWidth="1"/>
    <col min="19" max="19" width="11.7109375" style="36" bestFit="1" customWidth="1"/>
    <col min="20" max="16384" width="9.140625" style="36" customWidth="1"/>
  </cols>
  <sheetData>
    <row r="1" spans="2:16" ht="16.5" customHeight="1">
      <c r="B1" s="34" t="s">
        <v>84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ht="16.5" customHeight="1">
      <c r="B2" s="34" t="s">
        <v>255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16.5">
      <c r="B3" s="37"/>
    </row>
    <row r="4" spans="1:16" ht="34.5" customHeight="1">
      <c r="A4" s="235" t="s">
        <v>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2:15" ht="16.5">
      <c r="B5" s="32"/>
      <c r="O5" s="38" t="s">
        <v>86</v>
      </c>
    </row>
    <row r="6" spans="1:17" s="39" customFormat="1" ht="18" customHeight="1">
      <c r="A6" s="234" t="s">
        <v>10</v>
      </c>
      <c r="B6" s="234" t="s">
        <v>0</v>
      </c>
      <c r="C6" s="230" t="s">
        <v>80</v>
      </c>
      <c r="D6" s="232"/>
      <c r="E6" s="230" t="s">
        <v>81</v>
      </c>
      <c r="F6" s="232"/>
      <c r="G6" s="230" t="s">
        <v>210</v>
      </c>
      <c r="H6" s="232"/>
      <c r="I6" s="230" t="s">
        <v>223</v>
      </c>
      <c r="J6" s="232"/>
      <c r="K6" s="228" t="s">
        <v>243</v>
      </c>
      <c r="L6" s="228"/>
      <c r="M6" s="228" t="s">
        <v>244</v>
      </c>
      <c r="N6" s="228"/>
      <c r="O6" s="228" t="s">
        <v>82</v>
      </c>
      <c r="P6" s="228"/>
      <c r="Q6" s="38"/>
    </row>
    <row r="7" spans="1:17" s="39" customFormat="1" ht="33" customHeight="1">
      <c r="A7" s="234"/>
      <c r="B7" s="234"/>
      <c r="C7" s="24" t="s">
        <v>5</v>
      </c>
      <c r="D7" s="24" t="s">
        <v>83</v>
      </c>
      <c r="E7" s="24" t="s">
        <v>5</v>
      </c>
      <c r="F7" s="24" t="s">
        <v>83</v>
      </c>
      <c r="G7" s="24" t="s">
        <v>5</v>
      </c>
      <c r="H7" s="24" t="s">
        <v>83</v>
      </c>
      <c r="I7" s="24" t="s">
        <v>5</v>
      </c>
      <c r="J7" s="24" t="s">
        <v>83</v>
      </c>
      <c r="K7" s="24" t="s">
        <v>5</v>
      </c>
      <c r="L7" s="24" t="s">
        <v>83</v>
      </c>
      <c r="M7" s="24" t="s">
        <v>5</v>
      </c>
      <c r="N7" s="24" t="s">
        <v>83</v>
      </c>
      <c r="O7" s="24" t="s">
        <v>90</v>
      </c>
      <c r="P7" s="24" t="s">
        <v>83</v>
      </c>
      <c r="Q7" s="38"/>
    </row>
    <row r="8" spans="1:19" s="39" customFormat="1" ht="22.5" customHeight="1">
      <c r="A8" s="161">
        <v>1</v>
      </c>
      <c r="B8" s="93" t="s">
        <v>149</v>
      </c>
      <c r="C8" s="133">
        <f>PhulucV!E5</f>
        <v>350</v>
      </c>
      <c r="D8" s="163">
        <f>1300*80%*12*C8</f>
        <v>4368000</v>
      </c>
      <c r="E8" s="133">
        <f>PhulucV!H5</f>
        <v>385</v>
      </c>
      <c r="F8" s="163">
        <f>1400*80%*E8*12</f>
        <v>5174400</v>
      </c>
      <c r="G8" s="133">
        <f>PhulucV!K5</f>
        <v>420</v>
      </c>
      <c r="H8" s="163">
        <f>1500*80%*G8*12</f>
        <v>6048000</v>
      </c>
      <c r="I8" s="133">
        <f>PhulucV!N5</f>
        <v>420</v>
      </c>
      <c r="J8" s="163">
        <f>1500*80%*I8*12</f>
        <v>6048000</v>
      </c>
      <c r="K8" s="133">
        <f>PhulucV!Q5</f>
        <v>420</v>
      </c>
      <c r="L8" s="163">
        <f>1500*80%*K8*12</f>
        <v>6048000</v>
      </c>
      <c r="M8" s="133">
        <f>PhulucV!T5</f>
        <v>420</v>
      </c>
      <c r="N8" s="163">
        <f>1500*80%*M8*12</f>
        <v>6048000</v>
      </c>
      <c r="O8" s="164">
        <f>C8+E8+G8+K8+M8</f>
        <v>1995</v>
      </c>
      <c r="P8" s="163">
        <f>D8+F8+H8+J8+L8+N8</f>
        <v>33734400</v>
      </c>
      <c r="Q8" s="38"/>
      <c r="S8" s="41"/>
    </row>
    <row r="9" spans="1:17" s="39" customFormat="1" ht="22.5" customHeight="1">
      <c r="A9" s="162" t="s">
        <v>40</v>
      </c>
      <c r="B9" s="94" t="s">
        <v>131</v>
      </c>
      <c r="C9" s="165">
        <f>SUM(C10:C13)</f>
        <v>568</v>
      </c>
      <c r="D9" s="96">
        <f aca="true" t="shared" si="0" ref="D9:P9">SUM(D10:D13)</f>
        <v>4640332</v>
      </c>
      <c r="E9" s="165">
        <f t="shared" si="0"/>
        <v>580</v>
      </c>
      <c r="F9" s="96">
        <f t="shared" si="0"/>
        <v>5163200</v>
      </c>
      <c r="G9" s="165">
        <f t="shared" si="0"/>
        <v>610</v>
      </c>
      <c r="H9" s="96">
        <f t="shared" si="0"/>
        <v>6019780</v>
      </c>
      <c r="I9" s="165">
        <f>SUM(I10:I13)</f>
        <v>632</v>
      </c>
      <c r="J9" s="96">
        <f>SUM(J10:J13)</f>
        <v>6248580</v>
      </c>
      <c r="K9" s="165">
        <f t="shared" si="0"/>
        <v>647</v>
      </c>
      <c r="L9" s="96">
        <f t="shared" si="0"/>
        <v>6349830</v>
      </c>
      <c r="M9" s="165">
        <f>SUM(M10:M13)</f>
        <v>647</v>
      </c>
      <c r="N9" s="96">
        <f>SUM(N10:N13)</f>
        <v>6349830</v>
      </c>
      <c r="O9" s="165">
        <f t="shared" si="0"/>
        <v>2497</v>
      </c>
      <c r="P9" s="96">
        <f t="shared" si="0"/>
        <v>34771552</v>
      </c>
      <c r="Q9" s="38"/>
    </row>
    <row r="10" spans="1:19" s="39" customFormat="1" ht="22.5" customHeight="1">
      <c r="A10" s="161">
        <v>1</v>
      </c>
      <c r="B10" s="102" t="s">
        <v>138</v>
      </c>
      <c r="C10" s="133">
        <f>PhulucV!E7</f>
        <v>226</v>
      </c>
      <c r="D10" s="163">
        <v>2639632</v>
      </c>
      <c r="E10" s="133">
        <f>PhulucV!H7</f>
        <v>226</v>
      </c>
      <c r="F10" s="163">
        <v>2933000</v>
      </c>
      <c r="G10" s="133">
        <f>PhulucV!K7</f>
        <v>236</v>
      </c>
      <c r="H10" s="163">
        <v>3495280</v>
      </c>
      <c r="I10" s="133">
        <f>PhulucV!N7</f>
        <v>250</v>
      </c>
      <c r="J10" s="163">
        <v>3670080</v>
      </c>
      <c r="K10" s="133">
        <f>PhulucV!Q7</f>
        <v>250</v>
      </c>
      <c r="L10" s="163">
        <v>3670080</v>
      </c>
      <c r="M10" s="133">
        <f>PhulucV!T7</f>
        <v>250</v>
      </c>
      <c r="N10" s="163">
        <v>3670080</v>
      </c>
      <c r="O10" s="164">
        <v>982</v>
      </c>
      <c r="P10" s="163">
        <f>D10+F10+H10+J10+L10+N10</f>
        <v>20078152</v>
      </c>
      <c r="Q10" s="38"/>
      <c r="S10" s="41"/>
    </row>
    <row r="11" spans="1:17" s="39" customFormat="1" ht="22.5" customHeight="1">
      <c r="A11" s="161">
        <v>2</v>
      </c>
      <c r="B11" s="102" t="s">
        <v>139</v>
      </c>
      <c r="C11" s="133">
        <f>PhulucV!E8</f>
        <v>143</v>
      </c>
      <c r="D11" s="163">
        <f>1300*50%*9*C11</f>
        <v>836550</v>
      </c>
      <c r="E11" s="133">
        <f>PhulucV!H8</f>
        <v>142</v>
      </c>
      <c r="F11" s="163">
        <f>1400*50%*9*E11</f>
        <v>894600</v>
      </c>
      <c r="G11" s="133">
        <f>PhulucV!K8</f>
        <v>136</v>
      </c>
      <c r="H11" s="163">
        <f>1500*50%*9*G11</f>
        <v>918000</v>
      </c>
      <c r="I11" s="133">
        <f>PhulucV!N8</f>
        <v>142</v>
      </c>
      <c r="J11" s="163">
        <f>1500*50%*9*I11</f>
        <v>958500</v>
      </c>
      <c r="K11" s="133">
        <f>PhulucV!Q8</f>
        <v>145</v>
      </c>
      <c r="L11" s="163">
        <f>1500*50%*9*K11</f>
        <v>978750</v>
      </c>
      <c r="M11" s="133">
        <f>PhulucV!T8</f>
        <v>149</v>
      </c>
      <c r="N11" s="163">
        <f>1500*50%*9*M11</f>
        <v>1005750</v>
      </c>
      <c r="O11" s="133">
        <f>C11+E11+G11+K11</f>
        <v>566</v>
      </c>
      <c r="P11" s="163">
        <f>D11+F11+H11+J11+L11+N11</f>
        <v>5592150</v>
      </c>
      <c r="Q11" s="38"/>
    </row>
    <row r="12" spans="1:17" s="39" customFormat="1" ht="22.5" customHeight="1">
      <c r="A12" s="161">
        <v>3</v>
      </c>
      <c r="B12" s="102" t="s">
        <v>140</v>
      </c>
      <c r="C12" s="133">
        <f>PhulucV!E9</f>
        <v>103</v>
      </c>
      <c r="D12" s="163">
        <f>1300*50%*9*C12</f>
        <v>602550</v>
      </c>
      <c r="E12" s="133">
        <f>PhulucV!H9</f>
        <v>114</v>
      </c>
      <c r="F12" s="163">
        <f>1400*50%*9*E12</f>
        <v>718200</v>
      </c>
      <c r="G12" s="133">
        <f>PhulucV!K9</f>
        <v>122</v>
      </c>
      <c r="H12" s="163">
        <f>1500*50%*9*G12</f>
        <v>823500</v>
      </c>
      <c r="I12" s="133">
        <f>PhulucV!N9</f>
        <v>128</v>
      </c>
      <c r="J12" s="163">
        <f>1500*50%*9*I12</f>
        <v>864000</v>
      </c>
      <c r="K12" s="133">
        <f>PhulucV!Q9</f>
        <v>138</v>
      </c>
      <c r="L12" s="163">
        <f>1500*50%*9*K12</f>
        <v>931500</v>
      </c>
      <c r="M12" s="133">
        <f>PhulucV!T9</f>
        <v>135</v>
      </c>
      <c r="N12" s="163">
        <f>1500*50%*9*M12</f>
        <v>911250</v>
      </c>
      <c r="O12" s="133">
        <v>401</v>
      </c>
      <c r="P12" s="163">
        <f>D12+F12+H12+J12+L12+N12</f>
        <v>4851000</v>
      </c>
      <c r="Q12" s="38"/>
    </row>
    <row r="13" spans="1:17" s="39" customFormat="1" ht="22.5" customHeight="1">
      <c r="A13" s="161">
        <v>4</v>
      </c>
      <c r="B13" s="102" t="s">
        <v>141</v>
      </c>
      <c r="C13" s="133">
        <f>PhulucV!E10</f>
        <v>96</v>
      </c>
      <c r="D13" s="163">
        <f>1300*50%*9*C13</f>
        <v>561600</v>
      </c>
      <c r="E13" s="133">
        <f>PhulucV!H10</f>
        <v>98</v>
      </c>
      <c r="F13" s="163">
        <f>1400*50%*9*E13</f>
        <v>617400</v>
      </c>
      <c r="G13" s="133">
        <f>PhulucV!K10</f>
        <v>116</v>
      </c>
      <c r="H13" s="163">
        <f>1500*50%*9*G13</f>
        <v>783000</v>
      </c>
      <c r="I13" s="133">
        <f>PhulucV!N10</f>
        <v>112</v>
      </c>
      <c r="J13" s="163">
        <f>1500*50%*9*I13</f>
        <v>756000</v>
      </c>
      <c r="K13" s="133">
        <f>PhulucV!Q10</f>
        <v>114</v>
      </c>
      <c r="L13" s="163">
        <f>1500*50%*9*K13</f>
        <v>769500</v>
      </c>
      <c r="M13" s="133">
        <f>PhulucV!T10</f>
        <v>113</v>
      </c>
      <c r="N13" s="163">
        <f>1500*50%*9*M13</f>
        <v>762750</v>
      </c>
      <c r="O13" s="133">
        <v>548</v>
      </c>
      <c r="P13" s="163">
        <f>D13+F13+H13+J13+L13+N13</f>
        <v>4250250</v>
      </c>
      <c r="Q13" s="38"/>
    </row>
    <row r="14" spans="1:17" s="39" customFormat="1" ht="22.5" customHeight="1">
      <c r="A14" s="162" t="s">
        <v>193</v>
      </c>
      <c r="B14" s="94" t="s">
        <v>148</v>
      </c>
      <c r="C14" s="165">
        <f>SUM(C15:C17)</f>
        <v>453</v>
      </c>
      <c r="D14" s="96">
        <f aca="true" t="shared" si="1" ref="D14:P14">SUM(D15:D17)</f>
        <v>3591510</v>
      </c>
      <c r="E14" s="165">
        <f t="shared" si="1"/>
        <v>477</v>
      </c>
      <c r="F14" s="96">
        <f t="shared" si="1"/>
        <v>4076100</v>
      </c>
      <c r="G14" s="165">
        <f t="shared" si="1"/>
        <v>502</v>
      </c>
      <c r="H14" s="96">
        <f t="shared" si="1"/>
        <v>4612500</v>
      </c>
      <c r="I14" s="165">
        <f>SUM(I15:I17)</f>
        <v>534</v>
      </c>
      <c r="J14" s="96">
        <f>SUM(J15:J17)</f>
        <v>4981500</v>
      </c>
      <c r="K14" s="165">
        <f t="shared" si="1"/>
        <v>540</v>
      </c>
      <c r="L14" s="96">
        <f t="shared" si="1"/>
        <v>5022000</v>
      </c>
      <c r="M14" s="165">
        <f>SUM(M15:M17)</f>
        <v>541</v>
      </c>
      <c r="N14" s="96">
        <f>SUM(N15:N17)</f>
        <v>5028750</v>
      </c>
      <c r="O14" s="165">
        <f t="shared" si="1"/>
        <v>1952</v>
      </c>
      <c r="P14" s="96">
        <f t="shared" si="1"/>
        <v>27312360</v>
      </c>
      <c r="Q14" s="38"/>
    </row>
    <row r="15" spans="1:19" s="39" customFormat="1" ht="22.5" customHeight="1">
      <c r="A15" s="161">
        <v>1</v>
      </c>
      <c r="B15" s="93" t="s">
        <v>142</v>
      </c>
      <c r="C15" s="133">
        <f>PhulucV!E12</f>
        <v>142</v>
      </c>
      <c r="D15" s="163">
        <f>1300*80%*12*C15</f>
        <v>1772160</v>
      </c>
      <c r="E15" s="133">
        <f>PhulucV!H12</f>
        <v>150</v>
      </c>
      <c r="F15" s="163">
        <f>1400*80%*E15*12</f>
        <v>2016000</v>
      </c>
      <c r="G15" s="133">
        <f>PhulucV!K12</f>
        <v>160</v>
      </c>
      <c r="H15" s="163">
        <f>1500*80%*G15*12</f>
        <v>2304000</v>
      </c>
      <c r="I15" s="133">
        <f>PhulucV!N12</f>
        <v>180</v>
      </c>
      <c r="J15" s="163">
        <f>1500*80%*I15*12</f>
        <v>2592000</v>
      </c>
      <c r="K15" s="133">
        <f>PhulucV!Q12</f>
        <v>180</v>
      </c>
      <c r="L15" s="163">
        <f>1500*80%*K15*12</f>
        <v>2592000</v>
      </c>
      <c r="M15" s="133">
        <f>PhulucV!T12</f>
        <v>180</v>
      </c>
      <c r="N15" s="163">
        <f>1500*80%*M15*12</f>
        <v>2592000</v>
      </c>
      <c r="O15" s="164">
        <f>C15+E15+G15+K15</f>
        <v>632</v>
      </c>
      <c r="P15" s="163">
        <f>D15+F15+H15+J15+L15+N15</f>
        <v>13868160</v>
      </c>
      <c r="Q15" s="38"/>
      <c r="S15" s="41"/>
    </row>
    <row r="16" spans="1:17" s="39" customFormat="1" ht="30" customHeight="1">
      <c r="A16" s="71">
        <v>2</v>
      </c>
      <c r="B16" s="101" t="s">
        <v>209</v>
      </c>
      <c r="C16" s="133">
        <f>PhulucV!E13</f>
        <v>86</v>
      </c>
      <c r="D16" s="163">
        <f>1300*50%*9*C16</f>
        <v>503100</v>
      </c>
      <c r="E16" s="133">
        <f>PhulucV!H13</f>
        <v>85</v>
      </c>
      <c r="F16" s="163">
        <f>1400*50%*9*E16</f>
        <v>535500</v>
      </c>
      <c r="G16" s="133">
        <f>PhulucV!K13</f>
        <v>90</v>
      </c>
      <c r="H16" s="163">
        <f>1500*50%*9*G16</f>
        <v>607500</v>
      </c>
      <c r="I16" s="133">
        <f>PhulucV!N13</f>
        <v>99</v>
      </c>
      <c r="J16" s="163">
        <f>1500*50%*9*I16</f>
        <v>668250</v>
      </c>
      <c r="K16" s="133">
        <f>PhulucV!Q13</f>
        <v>100</v>
      </c>
      <c r="L16" s="163">
        <f>1500*50%*9*K16</f>
        <v>675000</v>
      </c>
      <c r="M16" s="133">
        <f>PhulucV!T13</f>
        <v>100</v>
      </c>
      <c r="N16" s="163">
        <f>1500*50%*9*M16</f>
        <v>675000</v>
      </c>
      <c r="O16" s="133">
        <f>K16+G16+E16+C16</f>
        <v>361</v>
      </c>
      <c r="P16" s="163">
        <f>D16+F16+H16+J16+L16+N16</f>
        <v>3664350</v>
      </c>
      <c r="Q16" s="38"/>
    </row>
    <row r="17" spans="1:17" s="39" customFormat="1" ht="22.5" customHeight="1">
      <c r="A17" s="161">
        <v>3</v>
      </c>
      <c r="B17" s="93" t="s">
        <v>147</v>
      </c>
      <c r="C17" s="133">
        <f>PhulucV!E14</f>
        <v>225</v>
      </c>
      <c r="D17" s="163">
        <f>1300*50%*9*C17</f>
        <v>1316250</v>
      </c>
      <c r="E17" s="133">
        <f>PhulucV!H14</f>
        <v>242</v>
      </c>
      <c r="F17" s="163">
        <f>1400*50%*9*E17</f>
        <v>1524600</v>
      </c>
      <c r="G17" s="133">
        <f>PhulucV!K14</f>
        <v>252</v>
      </c>
      <c r="H17" s="163">
        <f>1500*50%*9*G17</f>
        <v>1701000</v>
      </c>
      <c r="I17" s="133">
        <f>PhulucV!N14</f>
        <v>255</v>
      </c>
      <c r="J17" s="163">
        <f>1500*50%*9*I17</f>
        <v>1721250</v>
      </c>
      <c r="K17" s="133">
        <f>PhulucV!Q14</f>
        <v>260</v>
      </c>
      <c r="L17" s="163">
        <f>1500*50%*9*K17</f>
        <v>1755000</v>
      </c>
      <c r="M17" s="133">
        <f>PhulucV!T14</f>
        <v>261</v>
      </c>
      <c r="N17" s="163">
        <f>1500*50%*9*M17</f>
        <v>1761750</v>
      </c>
      <c r="O17" s="133">
        <v>959</v>
      </c>
      <c r="P17" s="163">
        <f>D17+F17+H17+J17+L17+N17</f>
        <v>9779850</v>
      </c>
      <c r="Q17" s="38"/>
    </row>
    <row r="18" spans="1:17" s="39" customFormat="1" ht="22.5" customHeight="1">
      <c r="A18" s="162" t="s">
        <v>194</v>
      </c>
      <c r="B18" s="94" t="s">
        <v>152</v>
      </c>
      <c r="C18" s="165">
        <f aca="true" t="shared" si="2" ref="C18:P18">SUM(C19:C27)</f>
        <v>1777</v>
      </c>
      <c r="D18" s="96">
        <f t="shared" si="2"/>
        <v>12251850</v>
      </c>
      <c r="E18" s="165">
        <f t="shared" si="2"/>
        <v>1790</v>
      </c>
      <c r="F18" s="96">
        <f t="shared" si="2"/>
        <v>13276200</v>
      </c>
      <c r="G18" s="165">
        <f t="shared" si="2"/>
        <v>1823</v>
      </c>
      <c r="H18" s="96">
        <f t="shared" si="2"/>
        <v>14447250</v>
      </c>
      <c r="I18" s="165">
        <f t="shared" si="2"/>
        <v>1852</v>
      </c>
      <c r="J18" s="96">
        <f t="shared" si="2"/>
        <v>14643000</v>
      </c>
      <c r="K18" s="165">
        <f t="shared" si="2"/>
        <v>1857</v>
      </c>
      <c r="L18" s="96">
        <f t="shared" si="2"/>
        <v>14676750</v>
      </c>
      <c r="M18" s="165">
        <f t="shared" si="2"/>
        <v>1883</v>
      </c>
      <c r="N18" s="96">
        <f t="shared" si="2"/>
        <v>14852250</v>
      </c>
      <c r="O18" s="165">
        <f t="shared" si="2"/>
        <v>7250</v>
      </c>
      <c r="P18" s="96">
        <f t="shared" si="2"/>
        <v>84147300</v>
      </c>
      <c r="Q18" s="38"/>
    </row>
    <row r="19" spans="1:19" s="39" customFormat="1" ht="22.5" customHeight="1">
      <c r="A19" s="161">
        <v>1</v>
      </c>
      <c r="B19" s="93" t="s">
        <v>153</v>
      </c>
      <c r="C19" s="133">
        <f>PhulucV!E16</f>
        <v>280</v>
      </c>
      <c r="D19" s="163">
        <f>1300*80%*12*C19</f>
        <v>3494400</v>
      </c>
      <c r="E19" s="133">
        <f>PhulucV!H16</f>
        <v>280</v>
      </c>
      <c r="F19" s="163">
        <f>1400*80%*E19*12</f>
        <v>3763200</v>
      </c>
      <c r="G19" s="133">
        <f>PhulucV!K16</f>
        <v>280</v>
      </c>
      <c r="H19" s="163">
        <f>1500*80%*G19*12</f>
        <v>4032000</v>
      </c>
      <c r="I19" s="133">
        <f>PhulucV!N16</f>
        <v>280</v>
      </c>
      <c r="J19" s="163">
        <f>1500*80%*I19*12</f>
        <v>4032000</v>
      </c>
      <c r="K19" s="133">
        <f>PhulucV!Q16</f>
        <v>280</v>
      </c>
      <c r="L19" s="163">
        <f>1500*80%*K19*12</f>
        <v>4032000</v>
      </c>
      <c r="M19" s="133">
        <f>PhulucV!T16</f>
        <v>280</v>
      </c>
      <c r="N19" s="163">
        <f>1500*80%*M19*12</f>
        <v>4032000</v>
      </c>
      <c r="O19" s="164">
        <f>SUM(C19+E19+G19+K19)</f>
        <v>1120</v>
      </c>
      <c r="P19" s="163">
        <f aca="true" t="shared" si="3" ref="P19:P27">D19+F19+H19+J19+L19+N19</f>
        <v>23385600</v>
      </c>
      <c r="Q19" s="38"/>
      <c r="S19" s="41"/>
    </row>
    <row r="20" spans="1:19" s="76" customFormat="1" ht="28.5" customHeight="1">
      <c r="A20" s="161">
        <v>2</v>
      </c>
      <c r="B20" s="93" t="s">
        <v>158</v>
      </c>
      <c r="C20" s="133">
        <f>PhulucV!E17</f>
        <v>258</v>
      </c>
      <c r="D20" s="163">
        <f aca="true" t="shared" si="4" ref="D20:D27">1300*50%*9*C20</f>
        <v>1509300</v>
      </c>
      <c r="E20" s="133">
        <f>PhulucV!H17</f>
        <v>260</v>
      </c>
      <c r="F20" s="163">
        <f aca="true" t="shared" si="5" ref="F20:F27">1400*50%*9*E20</f>
        <v>1638000</v>
      </c>
      <c r="G20" s="133">
        <f>PhulucV!K17</f>
        <v>263</v>
      </c>
      <c r="H20" s="163">
        <f aca="true" t="shared" si="6" ref="H20:H27">1500*50%*9*G20</f>
        <v>1775250</v>
      </c>
      <c r="I20" s="133">
        <f>PhulucV!N17</f>
        <v>280</v>
      </c>
      <c r="J20" s="163">
        <f aca="true" t="shared" si="7" ref="J20:L27">1500*50%*9*I20</f>
        <v>1890000</v>
      </c>
      <c r="K20" s="133">
        <f>PhulucV!Q17</f>
        <v>283</v>
      </c>
      <c r="L20" s="163">
        <f t="shared" si="7"/>
        <v>1910250</v>
      </c>
      <c r="M20" s="133">
        <f>PhulucV!T17</f>
        <v>291</v>
      </c>
      <c r="N20" s="163">
        <f aca="true" t="shared" si="8" ref="N20:N27">1500*50%*9*M20</f>
        <v>1964250</v>
      </c>
      <c r="O20" s="133">
        <f>K20+G20+E20+C20</f>
        <v>1064</v>
      </c>
      <c r="P20" s="163">
        <f t="shared" si="3"/>
        <v>10687050</v>
      </c>
      <c r="Q20" s="15"/>
      <c r="S20" s="77"/>
    </row>
    <row r="21" spans="1:17" s="39" customFormat="1" ht="22.5" customHeight="1">
      <c r="A21" s="161">
        <v>3</v>
      </c>
      <c r="B21" s="93" t="s">
        <v>157</v>
      </c>
      <c r="C21" s="133">
        <f>PhulucV!E18</f>
        <v>316</v>
      </c>
      <c r="D21" s="163">
        <f t="shared" si="4"/>
        <v>1848600</v>
      </c>
      <c r="E21" s="133">
        <f>PhulucV!H18</f>
        <v>322</v>
      </c>
      <c r="F21" s="163">
        <f t="shared" si="5"/>
        <v>2028600</v>
      </c>
      <c r="G21" s="133">
        <f>PhulucV!K18</f>
        <v>333</v>
      </c>
      <c r="H21" s="163">
        <f t="shared" si="6"/>
        <v>2247750</v>
      </c>
      <c r="I21" s="133">
        <f>PhulucV!N18</f>
        <v>325</v>
      </c>
      <c r="J21" s="163">
        <f t="shared" si="7"/>
        <v>2193750</v>
      </c>
      <c r="K21" s="133">
        <f>PhulucV!Q18</f>
        <v>328</v>
      </c>
      <c r="L21" s="163">
        <f t="shared" si="7"/>
        <v>2214000</v>
      </c>
      <c r="M21" s="133">
        <f>PhulucV!T18</f>
        <v>329</v>
      </c>
      <c r="N21" s="163">
        <f t="shared" si="8"/>
        <v>2220750</v>
      </c>
      <c r="O21" s="133">
        <f>K21+G21+E21+C21</f>
        <v>1299</v>
      </c>
      <c r="P21" s="163">
        <f t="shared" si="3"/>
        <v>12753450</v>
      </c>
      <c r="Q21" s="38"/>
    </row>
    <row r="22" spans="1:17" s="39" customFormat="1" ht="22.5" customHeight="1">
      <c r="A22" s="161">
        <v>4</v>
      </c>
      <c r="B22" s="93" t="s">
        <v>165</v>
      </c>
      <c r="C22" s="133">
        <f>PhulucV!E19</f>
        <v>265</v>
      </c>
      <c r="D22" s="163">
        <f t="shared" si="4"/>
        <v>1550250</v>
      </c>
      <c r="E22" s="133">
        <f>PhulucV!H19</f>
        <v>265</v>
      </c>
      <c r="F22" s="163">
        <f t="shared" si="5"/>
        <v>1669500</v>
      </c>
      <c r="G22" s="133">
        <f>PhulucV!K19</f>
        <v>280</v>
      </c>
      <c r="H22" s="163">
        <f t="shared" si="6"/>
        <v>1890000</v>
      </c>
      <c r="I22" s="133">
        <f>PhulucV!N19</f>
        <v>278</v>
      </c>
      <c r="J22" s="163">
        <f t="shared" si="7"/>
        <v>1876500</v>
      </c>
      <c r="K22" s="133">
        <f>PhulucV!Q19</f>
        <v>281</v>
      </c>
      <c r="L22" s="163">
        <f t="shared" si="7"/>
        <v>1896750</v>
      </c>
      <c r="M22" s="133">
        <f>PhulucV!T19</f>
        <v>282</v>
      </c>
      <c r="N22" s="163">
        <f t="shared" si="8"/>
        <v>1903500</v>
      </c>
      <c r="O22" s="164">
        <f>C22+E22+G22+K22</f>
        <v>1091</v>
      </c>
      <c r="P22" s="163">
        <f t="shared" si="3"/>
        <v>10786500</v>
      </c>
      <c r="Q22" s="38"/>
    </row>
    <row r="23" spans="1:17" s="39" customFormat="1" ht="22.5" customHeight="1">
      <c r="A23" s="161">
        <v>5</v>
      </c>
      <c r="B23" s="93" t="s">
        <v>166</v>
      </c>
      <c r="C23" s="133">
        <f>PhulucV!E20</f>
        <v>131</v>
      </c>
      <c r="D23" s="163">
        <f t="shared" si="4"/>
        <v>766350</v>
      </c>
      <c r="E23" s="133">
        <f>PhulucV!H20</f>
        <v>124</v>
      </c>
      <c r="F23" s="163">
        <f t="shared" si="5"/>
        <v>781200</v>
      </c>
      <c r="G23" s="133">
        <f>PhulucV!K20</f>
        <v>111</v>
      </c>
      <c r="H23" s="163">
        <f t="shared" si="6"/>
        <v>749250</v>
      </c>
      <c r="I23" s="133">
        <f>PhulucV!N20</f>
        <v>115</v>
      </c>
      <c r="J23" s="163">
        <f t="shared" si="7"/>
        <v>776250</v>
      </c>
      <c r="K23" s="133">
        <f>PhulucV!Q20</f>
        <v>102</v>
      </c>
      <c r="L23" s="163">
        <f t="shared" si="7"/>
        <v>688500</v>
      </c>
      <c r="M23" s="133">
        <f>PhulucV!T20</f>
        <v>106</v>
      </c>
      <c r="N23" s="163">
        <f t="shared" si="8"/>
        <v>715500</v>
      </c>
      <c r="O23" s="133">
        <f>K23+G23+E23+C23</f>
        <v>468</v>
      </c>
      <c r="P23" s="163">
        <f t="shared" si="3"/>
        <v>4477050</v>
      </c>
      <c r="Q23" s="38"/>
    </row>
    <row r="24" spans="1:19" s="39" customFormat="1" ht="22.5" customHeight="1">
      <c r="A24" s="161">
        <v>6</v>
      </c>
      <c r="B24" s="93" t="s">
        <v>167</v>
      </c>
      <c r="C24" s="133">
        <f>PhulucV!E21</f>
        <v>60</v>
      </c>
      <c r="D24" s="163">
        <f t="shared" si="4"/>
        <v>351000</v>
      </c>
      <c r="E24" s="133">
        <f>PhulucV!H21</f>
        <v>73</v>
      </c>
      <c r="F24" s="163">
        <f t="shared" si="5"/>
        <v>459900</v>
      </c>
      <c r="G24" s="133">
        <f>PhulucV!K21</f>
        <v>82</v>
      </c>
      <c r="H24" s="163">
        <f t="shared" si="6"/>
        <v>553500</v>
      </c>
      <c r="I24" s="133">
        <f>PhulucV!N21</f>
        <v>95</v>
      </c>
      <c r="J24" s="163">
        <f t="shared" si="7"/>
        <v>641250</v>
      </c>
      <c r="K24" s="133">
        <f>PhulucV!Q21</f>
        <v>98</v>
      </c>
      <c r="L24" s="163">
        <f t="shared" si="7"/>
        <v>661500</v>
      </c>
      <c r="M24" s="133">
        <f>PhulucV!T21</f>
        <v>102</v>
      </c>
      <c r="N24" s="163">
        <f t="shared" si="8"/>
        <v>688500</v>
      </c>
      <c r="O24" s="133">
        <f>C24+E24+G24+K24</f>
        <v>313</v>
      </c>
      <c r="P24" s="163">
        <f t="shared" si="3"/>
        <v>3355650</v>
      </c>
      <c r="Q24" s="38"/>
      <c r="S24" s="41"/>
    </row>
    <row r="25" spans="1:17" s="39" customFormat="1" ht="22.5" customHeight="1">
      <c r="A25" s="161">
        <v>7</v>
      </c>
      <c r="B25" s="93" t="s">
        <v>168</v>
      </c>
      <c r="C25" s="133">
        <f>PhulucV!E22</f>
        <v>320</v>
      </c>
      <c r="D25" s="163">
        <f t="shared" si="4"/>
        <v>1872000</v>
      </c>
      <c r="E25" s="133">
        <f>PhulucV!H22</f>
        <v>315</v>
      </c>
      <c r="F25" s="163">
        <f t="shared" si="5"/>
        <v>1984500</v>
      </c>
      <c r="G25" s="133">
        <f>PhulucV!K22</f>
        <v>317</v>
      </c>
      <c r="H25" s="163">
        <f t="shared" si="6"/>
        <v>2139750</v>
      </c>
      <c r="I25" s="133">
        <f>PhulucV!N22</f>
        <v>325</v>
      </c>
      <c r="J25" s="163">
        <f t="shared" si="7"/>
        <v>2193750</v>
      </c>
      <c r="K25" s="133">
        <f>PhulucV!Q22</f>
        <v>321</v>
      </c>
      <c r="L25" s="163">
        <f t="shared" si="7"/>
        <v>2166750</v>
      </c>
      <c r="M25" s="133">
        <f>PhulucV!T22</f>
        <v>327</v>
      </c>
      <c r="N25" s="163">
        <f t="shared" si="8"/>
        <v>2207250</v>
      </c>
      <c r="O25" s="133">
        <f>C25+E25+G25+K25</f>
        <v>1273</v>
      </c>
      <c r="P25" s="163">
        <f t="shared" si="3"/>
        <v>12564000</v>
      </c>
      <c r="Q25" s="38"/>
    </row>
    <row r="26" spans="1:17" s="39" customFormat="1" ht="22.5" customHeight="1">
      <c r="A26" s="161">
        <v>8</v>
      </c>
      <c r="B26" s="93" t="s">
        <v>169</v>
      </c>
      <c r="C26" s="133">
        <f>PhulucV!E23</f>
        <v>90</v>
      </c>
      <c r="D26" s="163">
        <f t="shared" si="4"/>
        <v>526500</v>
      </c>
      <c r="E26" s="133">
        <f>PhulucV!H23</f>
        <v>95</v>
      </c>
      <c r="F26" s="163">
        <f t="shared" si="5"/>
        <v>598500</v>
      </c>
      <c r="G26" s="133">
        <f>PhulucV!K23</f>
        <v>106</v>
      </c>
      <c r="H26" s="163">
        <f t="shared" si="6"/>
        <v>715500</v>
      </c>
      <c r="I26" s="133">
        <f>PhulucV!N23</f>
        <v>110</v>
      </c>
      <c r="J26" s="163">
        <f t="shared" si="7"/>
        <v>742500</v>
      </c>
      <c r="K26" s="133">
        <f>PhulucV!Q23</f>
        <v>112</v>
      </c>
      <c r="L26" s="163">
        <f t="shared" si="7"/>
        <v>756000</v>
      </c>
      <c r="M26" s="133">
        <f>PhulucV!T23</f>
        <v>115</v>
      </c>
      <c r="N26" s="163">
        <f t="shared" si="8"/>
        <v>776250</v>
      </c>
      <c r="O26" s="133">
        <f>C26+E26+G26+K26</f>
        <v>403</v>
      </c>
      <c r="P26" s="163">
        <f t="shared" si="3"/>
        <v>4115250</v>
      </c>
      <c r="Q26" s="38"/>
    </row>
    <row r="27" spans="1:17" s="39" customFormat="1" ht="22.5" customHeight="1">
      <c r="A27" s="161">
        <v>9</v>
      </c>
      <c r="B27" s="93" t="s">
        <v>170</v>
      </c>
      <c r="C27" s="133">
        <f>PhulucV!E24</f>
        <v>57</v>
      </c>
      <c r="D27" s="163">
        <f t="shared" si="4"/>
        <v>333450</v>
      </c>
      <c r="E27" s="133">
        <f>PhulucV!H24</f>
        <v>56</v>
      </c>
      <c r="F27" s="163">
        <f t="shared" si="5"/>
        <v>352800</v>
      </c>
      <c r="G27" s="133">
        <f>PhulucV!K24</f>
        <v>51</v>
      </c>
      <c r="H27" s="163">
        <f t="shared" si="6"/>
        <v>344250</v>
      </c>
      <c r="I27" s="133">
        <f>PhulucV!N24</f>
        <v>44</v>
      </c>
      <c r="J27" s="163">
        <f t="shared" si="7"/>
        <v>297000</v>
      </c>
      <c r="K27" s="133">
        <f>PhulucV!Q24</f>
        <v>52</v>
      </c>
      <c r="L27" s="163">
        <f t="shared" si="7"/>
        <v>351000</v>
      </c>
      <c r="M27" s="133">
        <f>PhulucV!T24</f>
        <v>51</v>
      </c>
      <c r="N27" s="163">
        <f t="shared" si="8"/>
        <v>344250</v>
      </c>
      <c r="O27" s="133">
        <v>219</v>
      </c>
      <c r="P27" s="163">
        <f t="shared" si="3"/>
        <v>2022750</v>
      </c>
      <c r="Q27" s="38"/>
    </row>
    <row r="28" spans="1:17" s="39" customFormat="1" ht="18" customHeight="1">
      <c r="A28" s="234" t="s">
        <v>10</v>
      </c>
      <c r="B28" s="234" t="s">
        <v>0</v>
      </c>
      <c r="C28" s="230" t="s">
        <v>80</v>
      </c>
      <c r="D28" s="232"/>
      <c r="E28" s="230" t="s">
        <v>81</v>
      </c>
      <c r="F28" s="232"/>
      <c r="G28" s="230" t="s">
        <v>210</v>
      </c>
      <c r="H28" s="232"/>
      <c r="I28" s="230" t="s">
        <v>223</v>
      </c>
      <c r="J28" s="232"/>
      <c r="K28" s="228" t="s">
        <v>243</v>
      </c>
      <c r="L28" s="228"/>
      <c r="M28" s="228" t="s">
        <v>244</v>
      </c>
      <c r="N28" s="228"/>
      <c r="O28" s="228" t="s">
        <v>82</v>
      </c>
      <c r="P28" s="228"/>
      <c r="Q28" s="38"/>
    </row>
    <row r="29" spans="1:17" s="39" customFormat="1" ht="33" customHeight="1">
      <c r="A29" s="234"/>
      <c r="B29" s="234"/>
      <c r="C29" s="24" t="s">
        <v>5</v>
      </c>
      <c r="D29" s="24" t="s">
        <v>83</v>
      </c>
      <c r="E29" s="24" t="s">
        <v>5</v>
      </c>
      <c r="F29" s="24" t="s">
        <v>83</v>
      </c>
      <c r="G29" s="24" t="s">
        <v>5</v>
      </c>
      <c r="H29" s="24" t="s">
        <v>83</v>
      </c>
      <c r="I29" s="24" t="s">
        <v>5</v>
      </c>
      <c r="J29" s="24" t="s">
        <v>83</v>
      </c>
      <c r="K29" s="24" t="s">
        <v>5</v>
      </c>
      <c r="L29" s="24" t="s">
        <v>83</v>
      </c>
      <c r="M29" s="24" t="s">
        <v>5</v>
      </c>
      <c r="N29" s="24" t="s">
        <v>83</v>
      </c>
      <c r="O29" s="24" t="s">
        <v>90</v>
      </c>
      <c r="P29" s="24" t="s">
        <v>83</v>
      </c>
      <c r="Q29" s="38"/>
    </row>
    <row r="30" spans="1:17" s="39" customFormat="1" ht="22.5" customHeight="1">
      <c r="A30" s="162" t="s">
        <v>195</v>
      </c>
      <c r="B30" s="94" t="s">
        <v>180</v>
      </c>
      <c r="C30" s="165">
        <f>SUM(C31:C39)</f>
        <v>2219</v>
      </c>
      <c r="D30" s="96">
        <f aca="true" t="shared" si="9" ref="D30:P30">SUM(D31:D39)</f>
        <v>14837550</v>
      </c>
      <c r="E30" s="165">
        <f t="shared" si="9"/>
        <v>2414</v>
      </c>
      <c r="F30" s="96">
        <f t="shared" si="9"/>
        <v>17207400</v>
      </c>
      <c r="G30" s="165">
        <f t="shared" si="9"/>
        <v>2494</v>
      </c>
      <c r="H30" s="96">
        <f t="shared" si="9"/>
        <v>18976500</v>
      </c>
      <c r="I30" s="165">
        <f>SUM(I31:I39)</f>
        <v>2606</v>
      </c>
      <c r="J30" s="96">
        <f>SUM(J31:J39)</f>
        <v>19732500</v>
      </c>
      <c r="K30" s="165">
        <f t="shared" si="9"/>
        <v>2647</v>
      </c>
      <c r="L30" s="96">
        <f t="shared" si="9"/>
        <v>20009250</v>
      </c>
      <c r="M30" s="165">
        <f>SUM(M31:M39)</f>
        <v>2676</v>
      </c>
      <c r="N30" s="96">
        <f>SUM(N31:N39)</f>
        <v>20205000</v>
      </c>
      <c r="O30" s="165">
        <f t="shared" si="9"/>
        <v>9192</v>
      </c>
      <c r="P30" s="96">
        <f t="shared" si="9"/>
        <v>110968200</v>
      </c>
      <c r="Q30" s="38"/>
    </row>
    <row r="31" spans="1:17" s="39" customFormat="1" ht="21.75" customHeight="1">
      <c r="A31" s="71">
        <v>1</v>
      </c>
      <c r="B31" s="93" t="s">
        <v>173</v>
      </c>
      <c r="C31" s="133">
        <f>PhulucV!E26</f>
        <v>280</v>
      </c>
      <c r="D31" s="163">
        <f>1300*80%*12*C31</f>
        <v>3494400</v>
      </c>
      <c r="E31" s="133">
        <f>PhulucV!H26</f>
        <v>280</v>
      </c>
      <c r="F31" s="163">
        <f>1400*80%*E31*12</f>
        <v>3763200</v>
      </c>
      <c r="G31" s="133">
        <f>PhulucV!K26</f>
        <v>280</v>
      </c>
      <c r="H31" s="163">
        <f>1500*80%*G31*12</f>
        <v>4032000</v>
      </c>
      <c r="I31" s="133">
        <f>PhulucV!N26</f>
        <v>280</v>
      </c>
      <c r="J31" s="163">
        <f>1500*80%*I31*12</f>
        <v>4032000</v>
      </c>
      <c r="K31" s="133">
        <f>PhulucV!Q26</f>
        <v>280</v>
      </c>
      <c r="L31" s="163">
        <f>1500*80%*K31*12</f>
        <v>4032000</v>
      </c>
      <c r="M31" s="133">
        <f>PhulucV!T26</f>
        <v>280</v>
      </c>
      <c r="N31" s="163">
        <f>1500*80%*M31*12</f>
        <v>4032000</v>
      </c>
      <c r="O31" s="164">
        <f>C31+E31+G31+K31</f>
        <v>1120</v>
      </c>
      <c r="P31" s="163">
        <f aca="true" t="shared" si="10" ref="P31:P39">D31+F31+H31+J31+L31+N31</f>
        <v>23385600</v>
      </c>
      <c r="Q31" s="38"/>
    </row>
    <row r="32" spans="1:19" s="39" customFormat="1" ht="21.75" customHeight="1">
      <c r="A32" s="71">
        <v>2</v>
      </c>
      <c r="B32" s="102" t="s">
        <v>185</v>
      </c>
      <c r="C32" s="133">
        <f>PhulucV!E27</f>
        <v>251</v>
      </c>
      <c r="D32" s="163">
        <f aca="true" t="shared" si="11" ref="D32:D39">1300*50%*9*C32</f>
        <v>1468350</v>
      </c>
      <c r="E32" s="133">
        <f>PhulucV!H27</f>
        <v>252</v>
      </c>
      <c r="F32" s="163">
        <f aca="true" t="shared" si="12" ref="F32:F39">1400*50%*9*E32</f>
        <v>1587600</v>
      </c>
      <c r="G32" s="133">
        <f>PhulucV!K27</f>
        <v>260</v>
      </c>
      <c r="H32" s="163">
        <f aca="true" t="shared" si="13" ref="H32:H39">1500*50%*9*G32</f>
        <v>1755000</v>
      </c>
      <c r="I32" s="133">
        <f>PhulucV!N27</f>
        <v>266</v>
      </c>
      <c r="J32" s="163">
        <f aca="true" t="shared" si="14" ref="J32:L39">1500*50%*9*I32</f>
        <v>1795500</v>
      </c>
      <c r="K32" s="133">
        <f>PhulucV!Q27</f>
        <v>276</v>
      </c>
      <c r="L32" s="163">
        <f t="shared" si="14"/>
        <v>1863000</v>
      </c>
      <c r="M32" s="133">
        <f>PhulucV!T27</f>
        <v>281</v>
      </c>
      <c r="N32" s="163">
        <f aca="true" t="shared" si="15" ref="N32:N39">1500*50%*9*M32</f>
        <v>1896750</v>
      </c>
      <c r="O32" s="167">
        <v>1709</v>
      </c>
      <c r="P32" s="163">
        <f t="shared" si="10"/>
        <v>10366200</v>
      </c>
      <c r="Q32" s="44"/>
      <c r="S32" s="41"/>
    </row>
    <row r="33" spans="1:17" s="39" customFormat="1" ht="21.75" customHeight="1">
      <c r="A33" s="71">
        <v>3</v>
      </c>
      <c r="B33" s="102" t="s">
        <v>186</v>
      </c>
      <c r="C33" s="133">
        <f>PhulucV!E28</f>
        <v>160</v>
      </c>
      <c r="D33" s="163">
        <f t="shared" si="11"/>
        <v>936000</v>
      </c>
      <c r="E33" s="133">
        <f>PhulucV!H28</f>
        <v>246</v>
      </c>
      <c r="F33" s="163">
        <f t="shared" si="12"/>
        <v>1549800</v>
      </c>
      <c r="G33" s="133">
        <f>PhulucV!K28</f>
        <v>263</v>
      </c>
      <c r="H33" s="163">
        <f t="shared" si="13"/>
        <v>1775250</v>
      </c>
      <c r="I33" s="133">
        <f>PhulucV!N28</f>
        <v>291</v>
      </c>
      <c r="J33" s="163">
        <f t="shared" si="14"/>
        <v>1964250</v>
      </c>
      <c r="K33" s="133">
        <f>PhulucV!Q28</f>
        <v>291</v>
      </c>
      <c r="L33" s="163">
        <f t="shared" si="14"/>
        <v>1964250</v>
      </c>
      <c r="M33" s="133">
        <f>PhulucV!T28</f>
        <v>291</v>
      </c>
      <c r="N33" s="163">
        <f t="shared" si="15"/>
        <v>1964250</v>
      </c>
      <c r="O33" s="166">
        <f>C33+E33+G33+K33</f>
        <v>960</v>
      </c>
      <c r="P33" s="163">
        <f t="shared" si="10"/>
        <v>10153800</v>
      </c>
      <c r="Q33" s="38"/>
    </row>
    <row r="34" spans="1:17" s="39" customFormat="1" ht="21.75" customHeight="1">
      <c r="A34" s="71">
        <v>4</v>
      </c>
      <c r="B34" s="102" t="s">
        <v>187</v>
      </c>
      <c r="C34" s="133">
        <f>PhulucV!E29</f>
        <v>104</v>
      </c>
      <c r="D34" s="163">
        <f t="shared" si="11"/>
        <v>608400</v>
      </c>
      <c r="E34" s="133">
        <f>PhulucV!H29</f>
        <v>98</v>
      </c>
      <c r="F34" s="163">
        <f t="shared" si="12"/>
        <v>617400</v>
      </c>
      <c r="G34" s="133">
        <f>PhulucV!K29</f>
        <v>110</v>
      </c>
      <c r="H34" s="163">
        <f t="shared" si="13"/>
        <v>742500</v>
      </c>
      <c r="I34" s="133">
        <f>PhulucV!N29</f>
        <v>97</v>
      </c>
      <c r="J34" s="163">
        <f t="shared" si="14"/>
        <v>654750</v>
      </c>
      <c r="K34" s="133">
        <f>PhulucV!Q29</f>
        <v>102</v>
      </c>
      <c r="L34" s="163">
        <f t="shared" si="14"/>
        <v>688500</v>
      </c>
      <c r="M34" s="133">
        <f>PhulucV!T29</f>
        <v>105</v>
      </c>
      <c r="N34" s="163">
        <f t="shared" si="15"/>
        <v>708750</v>
      </c>
      <c r="O34" s="166">
        <v>409</v>
      </c>
      <c r="P34" s="163">
        <f t="shared" si="10"/>
        <v>4020300</v>
      </c>
      <c r="Q34" s="38"/>
    </row>
    <row r="35" spans="1:17" s="39" customFormat="1" ht="21.75" customHeight="1">
      <c r="A35" s="71">
        <v>5</v>
      </c>
      <c r="B35" s="102" t="s">
        <v>188</v>
      </c>
      <c r="C35" s="133">
        <f>PhulucV!E30</f>
        <v>268</v>
      </c>
      <c r="D35" s="163">
        <f t="shared" si="11"/>
        <v>1567800</v>
      </c>
      <c r="E35" s="133">
        <f>PhulucV!H30</f>
        <v>304</v>
      </c>
      <c r="F35" s="163">
        <f t="shared" si="12"/>
        <v>1915200</v>
      </c>
      <c r="G35" s="133">
        <f>PhulucV!K30</f>
        <v>318</v>
      </c>
      <c r="H35" s="163">
        <f t="shared" si="13"/>
        <v>2146500</v>
      </c>
      <c r="I35" s="133">
        <f>PhulucV!N30</f>
        <v>335</v>
      </c>
      <c r="J35" s="163">
        <f t="shared" si="14"/>
        <v>2261250</v>
      </c>
      <c r="K35" s="133">
        <f>PhulucV!Q30</f>
        <v>335</v>
      </c>
      <c r="L35" s="163">
        <f t="shared" si="14"/>
        <v>2261250</v>
      </c>
      <c r="M35" s="133">
        <f>PhulucV!T30</f>
        <v>335</v>
      </c>
      <c r="N35" s="163">
        <f t="shared" si="15"/>
        <v>2261250</v>
      </c>
      <c r="O35" s="166">
        <v>509</v>
      </c>
      <c r="P35" s="163">
        <f t="shared" si="10"/>
        <v>12413250</v>
      </c>
      <c r="Q35" s="38"/>
    </row>
    <row r="36" spans="1:17" s="39" customFormat="1" ht="21.75" customHeight="1">
      <c r="A36" s="71">
        <v>6</v>
      </c>
      <c r="B36" s="102" t="s">
        <v>253</v>
      </c>
      <c r="C36" s="133">
        <f>PhulucV!E31</f>
        <v>138</v>
      </c>
      <c r="D36" s="163">
        <f t="shared" si="11"/>
        <v>807300</v>
      </c>
      <c r="E36" s="133">
        <f>PhulucV!H31</f>
        <v>169</v>
      </c>
      <c r="F36" s="163">
        <f t="shared" si="12"/>
        <v>1064700</v>
      </c>
      <c r="G36" s="133">
        <f>PhulucV!K31</f>
        <v>148</v>
      </c>
      <c r="H36" s="163">
        <f t="shared" si="13"/>
        <v>999000</v>
      </c>
      <c r="I36" s="133">
        <f>PhulucV!N31</f>
        <v>157</v>
      </c>
      <c r="J36" s="163">
        <f t="shared" si="14"/>
        <v>1059750</v>
      </c>
      <c r="K36" s="133">
        <f>PhulucV!Q31</f>
        <v>165</v>
      </c>
      <c r="L36" s="163">
        <f t="shared" si="14"/>
        <v>1113750</v>
      </c>
      <c r="M36" s="133">
        <f>PhulucV!T31</f>
        <v>166</v>
      </c>
      <c r="N36" s="163">
        <f t="shared" si="15"/>
        <v>1120500</v>
      </c>
      <c r="O36" s="167">
        <f>C36+E36+G36+K36</f>
        <v>620</v>
      </c>
      <c r="P36" s="163">
        <f t="shared" si="10"/>
        <v>6165000</v>
      </c>
      <c r="Q36" s="38"/>
    </row>
    <row r="37" spans="1:17" s="39" customFormat="1" ht="21.75" customHeight="1">
      <c r="A37" s="71">
        <v>7</v>
      </c>
      <c r="B37" s="102" t="s">
        <v>251</v>
      </c>
      <c r="C37" s="133">
        <f>PhulucV!E32</f>
        <v>556</v>
      </c>
      <c r="D37" s="163">
        <f t="shared" si="11"/>
        <v>3252600</v>
      </c>
      <c r="E37" s="133">
        <f>PhulucV!H32</f>
        <v>594</v>
      </c>
      <c r="F37" s="163">
        <f t="shared" si="12"/>
        <v>3742200</v>
      </c>
      <c r="G37" s="133">
        <f>PhulucV!K32</f>
        <v>639</v>
      </c>
      <c r="H37" s="163">
        <f t="shared" si="13"/>
        <v>4313250</v>
      </c>
      <c r="I37" s="133">
        <f>PhulucV!N32</f>
        <v>645</v>
      </c>
      <c r="J37" s="163">
        <f t="shared" si="14"/>
        <v>4353750</v>
      </c>
      <c r="K37" s="133">
        <f>PhulucV!Q32</f>
        <v>645</v>
      </c>
      <c r="L37" s="163">
        <f t="shared" si="14"/>
        <v>4353750</v>
      </c>
      <c r="M37" s="133">
        <f>PhulucV!T32</f>
        <v>645</v>
      </c>
      <c r="N37" s="163">
        <f t="shared" si="15"/>
        <v>4353750</v>
      </c>
      <c r="O37" s="166">
        <f>SUM(C37+E37+G37+K37)</f>
        <v>2434</v>
      </c>
      <c r="P37" s="163">
        <f t="shared" si="10"/>
        <v>24369300</v>
      </c>
      <c r="Q37" s="38"/>
    </row>
    <row r="38" spans="1:19" s="39" customFormat="1" ht="21.75" customHeight="1">
      <c r="A38" s="71">
        <v>8</v>
      </c>
      <c r="B38" s="102" t="s">
        <v>252</v>
      </c>
      <c r="C38" s="133">
        <f>PhulucV!E33</f>
        <v>210</v>
      </c>
      <c r="D38" s="163">
        <f t="shared" si="11"/>
        <v>1228500</v>
      </c>
      <c r="E38" s="133">
        <f>PhulucV!H33</f>
        <v>228</v>
      </c>
      <c r="F38" s="163">
        <f t="shared" si="12"/>
        <v>1436400</v>
      </c>
      <c r="G38" s="133">
        <f>PhulucV!K33</f>
        <v>229</v>
      </c>
      <c r="H38" s="163">
        <f t="shared" si="13"/>
        <v>1545750</v>
      </c>
      <c r="I38" s="133">
        <f>PhulucV!N33</f>
        <v>265</v>
      </c>
      <c r="J38" s="163">
        <f t="shared" si="14"/>
        <v>1788750</v>
      </c>
      <c r="K38" s="133">
        <f>PhulucV!Q33</f>
        <v>274</v>
      </c>
      <c r="L38" s="163">
        <f t="shared" si="14"/>
        <v>1849500</v>
      </c>
      <c r="M38" s="133">
        <f>PhulucV!T33</f>
        <v>278</v>
      </c>
      <c r="N38" s="163">
        <f t="shared" si="15"/>
        <v>1876500</v>
      </c>
      <c r="O38" s="166">
        <v>722</v>
      </c>
      <c r="P38" s="163">
        <f t="shared" si="10"/>
        <v>9725400</v>
      </c>
      <c r="Q38" s="38"/>
      <c r="S38" s="41"/>
    </row>
    <row r="39" spans="1:17" s="39" customFormat="1" ht="21.75" customHeight="1">
      <c r="A39" s="71">
        <v>9</v>
      </c>
      <c r="B39" s="102" t="s">
        <v>254</v>
      </c>
      <c r="C39" s="133">
        <f>PhulucV!E34</f>
        <v>252</v>
      </c>
      <c r="D39" s="163">
        <f t="shared" si="11"/>
        <v>1474200</v>
      </c>
      <c r="E39" s="133">
        <f>PhulucV!H34</f>
        <v>243</v>
      </c>
      <c r="F39" s="163">
        <f t="shared" si="12"/>
        <v>1530900</v>
      </c>
      <c r="G39" s="133">
        <f>PhulucV!K34</f>
        <v>247</v>
      </c>
      <c r="H39" s="163">
        <f t="shared" si="13"/>
        <v>1667250</v>
      </c>
      <c r="I39" s="133">
        <f>PhulucV!N34</f>
        <v>270</v>
      </c>
      <c r="J39" s="163">
        <f t="shared" si="14"/>
        <v>1822500</v>
      </c>
      <c r="K39" s="133">
        <f>PhulucV!Q34</f>
        <v>279</v>
      </c>
      <c r="L39" s="163">
        <f t="shared" si="14"/>
        <v>1883250</v>
      </c>
      <c r="M39" s="133">
        <f>PhulucV!T34</f>
        <v>295</v>
      </c>
      <c r="N39" s="163">
        <f t="shared" si="15"/>
        <v>1991250</v>
      </c>
      <c r="O39" s="166">
        <v>709</v>
      </c>
      <c r="P39" s="163">
        <f t="shared" si="10"/>
        <v>10369350</v>
      </c>
      <c r="Q39" s="38"/>
    </row>
    <row r="40" spans="1:17" s="39" customFormat="1" ht="22.5" customHeight="1">
      <c r="A40" s="29"/>
      <c r="B40" s="99" t="s">
        <v>112</v>
      </c>
      <c r="C40" s="165">
        <f aca="true" t="shared" si="16" ref="C40:P40">C30+C18+C14+C9+C8</f>
        <v>5367</v>
      </c>
      <c r="D40" s="165">
        <f t="shared" si="16"/>
        <v>39689242</v>
      </c>
      <c r="E40" s="165">
        <f t="shared" si="16"/>
        <v>5646</v>
      </c>
      <c r="F40" s="165">
        <f t="shared" si="16"/>
        <v>44897300</v>
      </c>
      <c r="G40" s="165">
        <f t="shared" si="16"/>
        <v>5849</v>
      </c>
      <c r="H40" s="165">
        <f t="shared" si="16"/>
        <v>50104030</v>
      </c>
      <c r="I40" s="165">
        <f t="shared" si="16"/>
        <v>6044</v>
      </c>
      <c r="J40" s="165">
        <f t="shared" si="16"/>
        <v>51653580</v>
      </c>
      <c r="K40" s="165">
        <f t="shared" si="16"/>
        <v>6111</v>
      </c>
      <c r="L40" s="165">
        <f t="shared" si="16"/>
        <v>52105830</v>
      </c>
      <c r="M40" s="165">
        <f t="shared" si="16"/>
        <v>6167</v>
      </c>
      <c r="N40" s="165">
        <f t="shared" si="16"/>
        <v>52483830</v>
      </c>
      <c r="O40" s="165">
        <f t="shared" si="16"/>
        <v>22886</v>
      </c>
      <c r="P40" s="165">
        <f t="shared" si="16"/>
        <v>290933812</v>
      </c>
      <c r="Q40" s="38"/>
    </row>
    <row r="41" spans="1:17" s="168" customFormat="1" ht="21.75" customHeight="1">
      <c r="A41" s="25"/>
      <c r="B41" s="169" t="s">
        <v>205</v>
      </c>
      <c r="C41" s="154">
        <f aca="true" t="shared" si="17" ref="C41:P41">C8+C10+C15+C19+C31</f>
        <v>1278</v>
      </c>
      <c r="D41" s="154">
        <f t="shared" si="17"/>
        <v>15768592</v>
      </c>
      <c r="E41" s="154">
        <f t="shared" si="17"/>
        <v>1321</v>
      </c>
      <c r="F41" s="154">
        <f t="shared" si="17"/>
        <v>17649800</v>
      </c>
      <c r="G41" s="154">
        <f t="shared" si="17"/>
        <v>1376</v>
      </c>
      <c r="H41" s="154">
        <f t="shared" si="17"/>
        <v>19911280</v>
      </c>
      <c r="I41" s="154">
        <f t="shared" si="17"/>
        <v>1410</v>
      </c>
      <c r="J41" s="154">
        <f t="shared" si="17"/>
        <v>20374080</v>
      </c>
      <c r="K41" s="154">
        <f t="shared" si="17"/>
        <v>1410</v>
      </c>
      <c r="L41" s="154">
        <f t="shared" si="17"/>
        <v>20374080</v>
      </c>
      <c r="M41" s="154">
        <f t="shared" si="17"/>
        <v>1410</v>
      </c>
      <c r="N41" s="154">
        <f t="shared" si="17"/>
        <v>20374080</v>
      </c>
      <c r="O41" s="154">
        <f t="shared" si="17"/>
        <v>5849</v>
      </c>
      <c r="P41" s="154">
        <f t="shared" si="17"/>
        <v>114451912</v>
      </c>
      <c r="Q41" s="33"/>
    </row>
    <row r="42" spans="1:17" s="168" customFormat="1" ht="21.75" customHeight="1">
      <c r="A42" s="25"/>
      <c r="B42" s="169" t="s">
        <v>206</v>
      </c>
      <c r="C42" s="154">
        <f>C40-C41</f>
        <v>4089</v>
      </c>
      <c r="D42" s="154">
        <f aca="true" t="shared" si="18" ref="D42:O42">D40-D41</f>
        <v>23920650</v>
      </c>
      <c r="E42" s="154">
        <f t="shared" si="18"/>
        <v>4325</v>
      </c>
      <c r="F42" s="154">
        <f t="shared" si="18"/>
        <v>27247500</v>
      </c>
      <c r="G42" s="154">
        <f t="shared" si="18"/>
        <v>4473</v>
      </c>
      <c r="H42" s="154">
        <f t="shared" si="18"/>
        <v>30192750</v>
      </c>
      <c r="I42" s="154">
        <f>I40-I41</f>
        <v>4634</v>
      </c>
      <c r="J42" s="154">
        <f>J40-J41</f>
        <v>31279500</v>
      </c>
      <c r="K42" s="154">
        <f t="shared" si="18"/>
        <v>4701</v>
      </c>
      <c r="L42" s="154">
        <f t="shared" si="18"/>
        <v>31731750</v>
      </c>
      <c r="M42" s="154">
        <f>M40-M41</f>
        <v>4757</v>
      </c>
      <c r="N42" s="154">
        <f>N40-N41</f>
        <v>32109750</v>
      </c>
      <c r="O42" s="154">
        <f t="shared" si="18"/>
        <v>17037</v>
      </c>
      <c r="P42" s="154">
        <f>P40-P41</f>
        <v>176481900</v>
      </c>
      <c r="Q42" s="33"/>
    </row>
    <row r="43" spans="1:17" s="168" customFormat="1" ht="21.75" customHeight="1">
      <c r="A43" s="25"/>
      <c r="B43" s="169" t="s">
        <v>261</v>
      </c>
      <c r="C43" s="154"/>
      <c r="D43" s="154">
        <v>9196709</v>
      </c>
      <c r="E43" s="154"/>
      <c r="F43" s="154">
        <f>F40-D40</f>
        <v>5208058</v>
      </c>
      <c r="G43" s="154"/>
      <c r="H43" s="154">
        <f>H40-F40</f>
        <v>5206730</v>
      </c>
      <c r="I43" s="154"/>
      <c r="J43" s="154">
        <f>J40-H40</f>
        <v>1549550</v>
      </c>
      <c r="K43" s="154"/>
      <c r="L43" s="154">
        <f>L40-J40</f>
        <v>452250</v>
      </c>
      <c r="M43" s="154"/>
      <c r="N43" s="154">
        <f>N40-L40</f>
        <v>378000</v>
      </c>
      <c r="O43" s="154"/>
      <c r="P43" s="154">
        <f>SUM(D43:N43)</f>
        <v>21991297</v>
      </c>
      <c r="Q43" s="33"/>
    </row>
    <row r="64" spans="1:16" ht="18.75" customHeight="1">
      <c r="A64"/>
      <c r="B64" s="236" t="s">
        <v>87</v>
      </c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</row>
    <row r="65" spans="1:15" ht="16.5">
      <c r="A65"/>
      <c r="B65" s="32"/>
      <c r="O65" s="38" t="s">
        <v>86</v>
      </c>
    </row>
    <row r="66" spans="1:16" s="38" customFormat="1" ht="15" customHeight="1">
      <c r="A66" s="234" t="s">
        <v>10</v>
      </c>
      <c r="B66" s="234" t="s">
        <v>0</v>
      </c>
      <c r="C66" s="230" t="s">
        <v>80</v>
      </c>
      <c r="D66" s="232"/>
      <c r="E66" s="230" t="s">
        <v>81</v>
      </c>
      <c r="F66" s="232"/>
      <c r="G66" s="230" t="s">
        <v>210</v>
      </c>
      <c r="H66" s="232"/>
      <c r="I66" s="230" t="s">
        <v>223</v>
      </c>
      <c r="J66" s="232"/>
      <c r="K66" s="228" t="s">
        <v>243</v>
      </c>
      <c r="L66" s="228"/>
      <c r="M66" s="228" t="s">
        <v>244</v>
      </c>
      <c r="N66" s="228"/>
      <c r="O66" s="228" t="s">
        <v>82</v>
      </c>
      <c r="P66" s="228"/>
    </row>
    <row r="67" spans="1:16" s="38" customFormat="1" ht="51">
      <c r="A67" s="234"/>
      <c r="B67" s="234"/>
      <c r="C67" s="24" t="s">
        <v>88</v>
      </c>
      <c r="D67" s="24" t="s">
        <v>83</v>
      </c>
      <c r="E67" s="24" t="s">
        <v>88</v>
      </c>
      <c r="F67" s="24" t="s">
        <v>83</v>
      </c>
      <c r="G67" s="24" t="s">
        <v>88</v>
      </c>
      <c r="H67" s="24" t="s">
        <v>83</v>
      </c>
      <c r="I67" s="24" t="s">
        <v>88</v>
      </c>
      <c r="J67" s="24" t="s">
        <v>83</v>
      </c>
      <c r="K67" s="24" t="s">
        <v>88</v>
      </c>
      <c r="L67" s="24" t="s">
        <v>83</v>
      </c>
      <c r="M67" s="24" t="s">
        <v>88</v>
      </c>
      <c r="N67" s="24" t="s">
        <v>83</v>
      </c>
      <c r="O67" s="24" t="s">
        <v>88</v>
      </c>
      <c r="P67" s="24" t="s">
        <v>83</v>
      </c>
    </row>
    <row r="68" spans="1:16" s="38" customFormat="1" ht="22.5" customHeight="1">
      <c r="A68" s="161">
        <v>1</v>
      </c>
      <c r="B68" s="93" t="s">
        <v>149</v>
      </c>
      <c r="C68" s="133">
        <v>23</v>
      </c>
      <c r="D68" s="163">
        <v>1094000</v>
      </c>
      <c r="E68" s="164">
        <v>27</v>
      </c>
      <c r="F68" s="163">
        <v>1128400</v>
      </c>
      <c r="G68" s="164">
        <v>29</v>
      </c>
      <c r="H68" s="163">
        <v>1379400</v>
      </c>
      <c r="I68" s="164">
        <v>32</v>
      </c>
      <c r="J68" s="163">
        <v>1522000</v>
      </c>
      <c r="K68" s="164">
        <v>32</v>
      </c>
      <c r="L68" s="163">
        <v>1522000</v>
      </c>
      <c r="M68" s="164">
        <v>32</v>
      </c>
      <c r="N68" s="163">
        <v>1522000</v>
      </c>
      <c r="O68" s="164">
        <f>C68+E68+G68+K68+M68</f>
        <v>143</v>
      </c>
      <c r="P68" s="163">
        <f>D68+F68+H68+J68+L68+N68</f>
        <v>8167800</v>
      </c>
    </row>
    <row r="69" spans="1:16" s="38" customFormat="1" ht="22.5" customHeight="1">
      <c r="A69" s="162" t="s">
        <v>40</v>
      </c>
      <c r="B69" s="94" t="s">
        <v>131</v>
      </c>
      <c r="C69" s="165">
        <f aca="true" t="shared" si="19" ref="C69:P69">SUM(C70:C73)</f>
        <v>91</v>
      </c>
      <c r="D69" s="96">
        <f t="shared" si="19"/>
        <v>1526150.1</v>
      </c>
      <c r="E69" s="165">
        <f t="shared" si="19"/>
        <v>91</v>
      </c>
      <c r="F69" s="96">
        <f t="shared" si="19"/>
        <v>2028350</v>
      </c>
      <c r="G69" s="165">
        <f t="shared" si="19"/>
        <v>96</v>
      </c>
      <c r="H69" s="96">
        <f t="shared" si="19"/>
        <v>2144350</v>
      </c>
      <c r="I69" s="165">
        <f t="shared" si="19"/>
        <v>96</v>
      </c>
      <c r="J69" s="96">
        <f t="shared" si="19"/>
        <v>2291130</v>
      </c>
      <c r="K69" s="165">
        <f t="shared" si="19"/>
        <v>96</v>
      </c>
      <c r="L69" s="96">
        <f t="shared" si="19"/>
        <v>2291130</v>
      </c>
      <c r="M69" s="165">
        <f t="shared" si="19"/>
        <v>96</v>
      </c>
      <c r="N69" s="96">
        <f t="shared" si="19"/>
        <v>2291130</v>
      </c>
      <c r="O69" s="165">
        <f t="shared" si="19"/>
        <v>470</v>
      </c>
      <c r="P69" s="96">
        <f t="shared" si="19"/>
        <v>12572240.1</v>
      </c>
    </row>
    <row r="70" spans="1:16" s="38" customFormat="1" ht="22.5" customHeight="1">
      <c r="A70" s="161">
        <v>1</v>
      </c>
      <c r="B70" s="102" t="s">
        <v>138</v>
      </c>
      <c r="C70" s="133">
        <v>23</v>
      </c>
      <c r="D70" s="95">
        <v>1207910.1</v>
      </c>
      <c r="E70" s="133">
        <v>23</v>
      </c>
      <c r="F70" s="95">
        <v>1685630</v>
      </c>
      <c r="G70" s="133">
        <v>23</v>
      </c>
      <c r="H70" s="95">
        <v>1750150</v>
      </c>
      <c r="I70" s="133">
        <v>23</v>
      </c>
      <c r="J70" s="95">
        <v>1870650</v>
      </c>
      <c r="K70" s="133">
        <v>23</v>
      </c>
      <c r="L70" s="95">
        <v>1870650</v>
      </c>
      <c r="M70" s="133">
        <v>23</v>
      </c>
      <c r="N70" s="95">
        <v>1870650</v>
      </c>
      <c r="O70" s="164">
        <f>C70+E70+G70+K70+M70</f>
        <v>115</v>
      </c>
      <c r="P70" s="163">
        <f>D70+F70+H70+J70+L70+N70</f>
        <v>10255640.1</v>
      </c>
    </row>
    <row r="71" spans="1:16" s="38" customFormat="1" ht="22.5" customHeight="1">
      <c r="A71" s="161">
        <v>2</v>
      </c>
      <c r="B71" s="102" t="s">
        <v>139</v>
      </c>
      <c r="C71" s="133">
        <v>25</v>
      </c>
      <c r="D71" s="163">
        <f>0.3*1300*12*C71</f>
        <v>117000</v>
      </c>
      <c r="E71" s="133">
        <v>25</v>
      </c>
      <c r="F71" s="163">
        <f>0.3*1400*12*E71</f>
        <v>126000</v>
      </c>
      <c r="G71" s="133">
        <v>26</v>
      </c>
      <c r="H71" s="163">
        <f>0.3*1500*12*G71</f>
        <v>140400</v>
      </c>
      <c r="I71" s="133">
        <v>26</v>
      </c>
      <c r="J71" s="163">
        <f>0.3*1600*12*I71</f>
        <v>149760</v>
      </c>
      <c r="K71" s="133">
        <v>26</v>
      </c>
      <c r="L71" s="163">
        <f>0.3*1600*12*K71</f>
        <v>149760</v>
      </c>
      <c r="M71" s="133">
        <v>26</v>
      </c>
      <c r="N71" s="163">
        <f>0.3*1600*12*M71</f>
        <v>149760</v>
      </c>
      <c r="O71" s="164">
        <f>C71+E71+G71+K71+M71</f>
        <v>128</v>
      </c>
      <c r="P71" s="163">
        <f>D71+F71+H71+J71+L71+N71</f>
        <v>832680</v>
      </c>
    </row>
    <row r="72" spans="1:16" s="38" customFormat="1" ht="22.5" customHeight="1">
      <c r="A72" s="161">
        <v>3</v>
      </c>
      <c r="B72" s="102" t="s">
        <v>140</v>
      </c>
      <c r="C72" s="133">
        <v>18</v>
      </c>
      <c r="D72" s="163">
        <f>0.3*1300*12*C72</f>
        <v>84240</v>
      </c>
      <c r="E72" s="133">
        <v>18</v>
      </c>
      <c r="F72" s="163">
        <f>0.3*1400*12*E72</f>
        <v>90720</v>
      </c>
      <c r="G72" s="133">
        <v>21</v>
      </c>
      <c r="H72" s="163">
        <f>0.3*1500*12*G72</f>
        <v>113400</v>
      </c>
      <c r="I72" s="133">
        <v>21</v>
      </c>
      <c r="J72" s="163">
        <f>0.3*1600*12*I72</f>
        <v>120960</v>
      </c>
      <c r="K72" s="133">
        <v>21</v>
      </c>
      <c r="L72" s="163">
        <f>0.3*1600*12*K72</f>
        <v>120960</v>
      </c>
      <c r="M72" s="133">
        <v>21</v>
      </c>
      <c r="N72" s="163">
        <f>0.3*1600*12*M72</f>
        <v>120960</v>
      </c>
      <c r="O72" s="164">
        <f>C72+E72+G72+K72+M72</f>
        <v>99</v>
      </c>
      <c r="P72" s="163">
        <f>D72+F72+H72+J72+L72+N72</f>
        <v>651240</v>
      </c>
    </row>
    <row r="73" spans="1:16" s="38" customFormat="1" ht="22.5" customHeight="1">
      <c r="A73" s="161">
        <v>4</v>
      </c>
      <c r="B73" s="102" t="s">
        <v>141</v>
      </c>
      <c r="C73" s="133">
        <v>25</v>
      </c>
      <c r="D73" s="163">
        <f>0.3*1300*12*C73</f>
        <v>117000</v>
      </c>
      <c r="E73" s="133">
        <v>25</v>
      </c>
      <c r="F73" s="163">
        <f>0.3*1400*12*E73</f>
        <v>126000</v>
      </c>
      <c r="G73" s="133">
        <v>26</v>
      </c>
      <c r="H73" s="163">
        <f>0.3*1500*12*G73</f>
        <v>140400</v>
      </c>
      <c r="I73" s="133">
        <v>26</v>
      </c>
      <c r="J73" s="163">
        <f>0.3*1600*12*I73</f>
        <v>149760</v>
      </c>
      <c r="K73" s="133">
        <v>26</v>
      </c>
      <c r="L73" s="163">
        <f>0.3*1600*12*K73</f>
        <v>149760</v>
      </c>
      <c r="M73" s="133">
        <v>26</v>
      </c>
      <c r="N73" s="163">
        <f>0.3*1600*12*M73</f>
        <v>149760</v>
      </c>
      <c r="O73" s="164">
        <f>C73+E73+G73+K73+M73</f>
        <v>128</v>
      </c>
      <c r="P73" s="163">
        <f>D73+F73+H73+J73+L73+N73</f>
        <v>832680</v>
      </c>
    </row>
    <row r="74" spans="1:16" s="38" customFormat="1" ht="22.5" customHeight="1">
      <c r="A74" s="162" t="s">
        <v>40</v>
      </c>
      <c r="B74" s="94" t="s">
        <v>148</v>
      </c>
      <c r="C74" s="165">
        <f>SUM(C75:C77)</f>
        <v>69</v>
      </c>
      <c r="D74" s="96">
        <f>SUM(D75:D77)</f>
        <v>996680</v>
      </c>
      <c r="E74" s="165">
        <f aca="true" t="shared" si="20" ref="E74:P74">SUM(E75:E77)</f>
        <v>73</v>
      </c>
      <c r="F74" s="96">
        <f t="shared" si="20"/>
        <v>1044200</v>
      </c>
      <c r="G74" s="170">
        <f t="shared" si="20"/>
        <v>73</v>
      </c>
      <c r="H74" s="96">
        <f t="shared" si="20"/>
        <v>1067000</v>
      </c>
      <c r="I74" s="165">
        <f>SUM(I75:I77)</f>
        <v>73</v>
      </c>
      <c r="J74" s="96">
        <f>SUM(J75:J77)</f>
        <v>1092800</v>
      </c>
      <c r="K74" s="165">
        <f t="shared" si="20"/>
        <v>73</v>
      </c>
      <c r="L74" s="96">
        <f t="shared" si="20"/>
        <v>1092800</v>
      </c>
      <c r="M74" s="165">
        <f>SUM(M75:M77)</f>
        <v>73</v>
      </c>
      <c r="N74" s="96">
        <f>SUM(N75:N77)</f>
        <v>1092800</v>
      </c>
      <c r="O74" s="165">
        <f t="shared" si="20"/>
        <v>361</v>
      </c>
      <c r="P74" s="96">
        <f t="shared" si="20"/>
        <v>6386280</v>
      </c>
    </row>
    <row r="75" spans="1:16" s="38" customFormat="1" ht="22.5" customHeight="1">
      <c r="A75" s="161">
        <v>1</v>
      </c>
      <c r="B75" s="93" t="s">
        <v>142</v>
      </c>
      <c r="C75" s="133">
        <v>18</v>
      </c>
      <c r="D75" s="163">
        <v>758000</v>
      </c>
      <c r="E75" s="164">
        <v>18</v>
      </c>
      <c r="F75" s="163">
        <v>767000</v>
      </c>
      <c r="G75" s="164">
        <v>18</v>
      </c>
      <c r="H75" s="163">
        <v>770000</v>
      </c>
      <c r="I75" s="164">
        <v>18</v>
      </c>
      <c r="J75" s="163">
        <v>776000</v>
      </c>
      <c r="K75" s="164">
        <v>18</v>
      </c>
      <c r="L75" s="163">
        <v>776000</v>
      </c>
      <c r="M75" s="164">
        <v>18</v>
      </c>
      <c r="N75" s="163">
        <v>776000</v>
      </c>
      <c r="O75" s="164">
        <f>C75+E75+G75+K75+M75</f>
        <v>90</v>
      </c>
      <c r="P75" s="163">
        <f>D75+F75+H75+J75+L75+N75</f>
        <v>4623000</v>
      </c>
    </row>
    <row r="76" spans="1:16" ht="16.5">
      <c r="A76" s="162">
        <v>2</v>
      </c>
      <c r="B76" s="101" t="s">
        <v>209</v>
      </c>
      <c r="C76" s="133">
        <v>17</v>
      </c>
      <c r="D76" s="163">
        <f>0.3*1300*12*C76</f>
        <v>79560</v>
      </c>
      <c r="E76" s="133">
        <v>17</v>
      </c>
      <c r="F76" s="163">
        <f>0.3*1400*12*E76</f>
        <v>85680</v>
      </c>
      <c r="G76" s="133">
        <v>17</v>
      </c>
      <c r="H76" s="163">
        <f>0.3*1500*12*G76</f>
        <v>91800</v>
      </c>
      <c r="I76" s="133">
        <v>17</v>
      </c>
      <c r="J76" s="163">
        <f>0.3*1600*12*I76</f>
        <v>97920</v>
      </c>
      <c r="K76" s="133">
        <v>17</v>
      </c>
      <c r="L76" s="163">
        <f>0.3*1600*12*K76</f>
        <v>97920</v>
      </c>
      <c r="M76" s="133">
        <v>17</v>
      </c>
      <c r="N76" s="163">
        <f>0.3*1600*12*M76</f>
        <v>97920</v>
      </c>
      <c r="O76" s="164">
        <f>C76+E76+G76+K76+M76</f>
        <v>85</v>
      </c>
      <c r="P76" s="163">
        <f>D76+F76+H76+J76+L76+N76</f>
        <v>550800</v>
      </c>
    </row>
    <row r="77" spans="1:16" s="38" customFormat="1" ht="22.5" customHeight="1">
      <c r="A77" s="161">
        <v>3</v>
      </c>
      <c r="B77" s="93" t="s">
        <v>147</v>
      </c>
      <c r="C77" s="133">
        <v>34</v>
      </c>
      <c r="D77" s="163">
        <f>0.3*1300*12*C77</f>
        <v>159120</v>
      </c>
      <c r="E77" s="133">
        <v>38</v>
      </c>
      <c r="F77" s="163">
        <f>0.3*1400*12*E77</f>
        <v>191520</v>
      </c>
      <c r="G77" s="133">
        <v>38</v>
      </c>
      <c r="H77" s="163">
        <f>0.3*1500*12*G77</f>
        <v>205200</v>
      </c>
      <c r="I77" s="133">
        <v>38</v>
      </c>
      <c r="J77" s="163">
        <f>0.3*1600*12*I77</f>
        <v>218880</v>
      </c>
      <c r="K77" s="133">
        <v>38</v>
      </c>
      <c r="L77" s="163">
        <f>0.3*1600*12*K77</f>
        <v>218880</v>
      </c>
      <c r="M77" s="133">
        <v>38</v>
      </c>
      <c r="N77" s="163">
        <f>0.3*1600*12*M77</f>
        <v>218880</v>
      </c>
      <c r="O77" s="164">
        <f>C77+E77+G77+K77+M77</f>
        <v>186</v>
      </c>
      <c r="P77" s="163">
        <f>D77+F77+H77+J77+L77+N77</f>
        <v>1212480</v>
      </c>
    </row>
    <row r="78" spans="1:16" s="38" customFormat="1" ht="22.5" customHeight="1">
      <c r="A78" s="162" t="s">
        <v>193</v>
      </c>
      <c r="B78" s="94" t="s">
        <v>152</v>
      </c>
      <c r="C78" s="165">
        <f>SUM(C79:C82)</f>
        <v>69</v>
      </c>
      <c r="D78" s="96">
        <f>SUM(D79:D82)</f>
        <v>1651960</v>
      </c>
      <c r="E78" s="165">
        <f aca="true" t="shared" si="21" ref="E78:O78">SUM(E79:E82)</f>
        <v>100</v>
      </c>
      <c r="F78" s="96">
        <f t="shared" si="21"/>
        <v>1816840</v>
      </c>
      <c r="G78" s="165">
        <f t="shared" si="21"/>
        <v>106</v>
      </c>
      <c r="H78" s="96">
        <f t="shared" si="21"/>
        <v>1874800</v>
      </c>
      <c r="I78" s="165">
        <f>SUM(I79:I82)</f>
        <v>113</v>
      </c>
      <c r="J78" s="96">
        <f>SUM(J79:J82)</f>
        <v>2764640</v>
      </c>
      <c r="K78" s="165">
        <f t="shared" si="21"/>
        <v>116</v>
      </c>
      <c r="L78" s="96">
        <f t="shared" si="21"/>
        <v>2770400</v>
      </c>
      <c r="M78" s="165">
        <f>SUM(M79:M82)</f>
        <v>116</v>
      </c>
      <c r="N78" s="96">
        <f>SUM(N79:N82)</f>
        <v>2770400</v>
      </c>
      <c r="O78" s="165">
        <f t="shared" si="21"/>
        <v>507</v>
      </c>
      <c r="P78" s="96">
        <f>SUM(P79:P82)</f>
        <v>13649040</v>
      </c>
    </row>
    <row r="79" spans="1:16" s="38" customFormat="1" ht="22.5" customHeight="1">
      <c r="A79" s="161">
        <v>1</v>
      </c>
      <c r="B79" s="93" t="s">
        <v>153</v>
      </c>
      <c r="C79" s="133">
        <v>22</v>
      </c>
      <c r="D79" s="163">
        <v>1432000</v>
      </c>
      <c r="E79" s="164">
        <v>22</v>
      </c>
      <c r="F79" s="163">
        <v>1432000</v>
      </c>
      <c r="G79" s="164">
        <v>24</v>
      </c>
      <c r="H79" s="163">
        <v>1432000</v>
      </c>
      <c r="I79" s="164">
        <v>24</v>
      </c>
      <c r="J79" s="163">
        <v>2252000</v>
      </c>
      <c r="K79" s="164">
        <v>26</v>
      </c>
      <c r="L79" s="163">
        <v>2252000</v>
      </c>
      <c r="M79" s="164">
        <v>26</v>
      </c>
      <c r="N79" s="163">
        <v>2252000</v>
      </c>
      <c r="O79" s="164">
        <f>C79+E79+G79+K79+M79</f>
        <v>120</v>
      </c>
      <c r="P79" s="163">
        <f>D79+F79+H79+J79+L79+N79</f>
        <v>11052000</v>
      </c>
    </row>
    <row r="80" spans="1:16" s="38" customFormat="1" ht="22.5" customHeight="1">
      <c r="A80" s="161">
        <v>2</v>
      </c>
      <c r="B80" s="93" t="s">
        <v>158</v>
      </c>
      <c r="C80" s="133">
        <v>25</v>
      </c>
      <c r="D80" s="163">
        <f>0.3*1300*12*C80</f>
        <v>117000</v>
      </c>
      <c r="E80" s="133">
        <v>27</v>
      </c>
      <c r="F80" s="163">
        <f>0.3*1400*12*E80</f>
        <v>136080</v>
      </c>
      <c r="G80" s="133">
        <v>29</v>
      </c>
      <c r="H80" s="163">
        <f>0.3*1500*12*G80</f>
        <v>156600</v>
      </c>
      <c r="I80" s="133">
        <v>31</v>
      </c>
      <c r="J80" s="163">
        <f>0.3*1600*12*I80</f>
        <v>178560</v>
      </c>
      <c r="K80" s="133">
        <v>31</v>
      </c>
      <c r="L80" s="163">
        <f>0.3*1600*12*K80</f>
        <v>178560</v>
      </c>
      <c r="M80" s="133">
        <v>31</v>
      </c>
      <c r="N80" s="163">
        <f>0.3*1600*12*M80</f>
        <v>178560</v>
      </c>
      <c r="O80" s="164">
        <f>C80+E80+G80+K80+M80</f>
        <v>143</v>
      </c>
      <c r="P80" s="163">
        <f>D80+F80+H80+J80+L80+N80</f>
        <v>945360</v>
      </c>
    </row>
    <row r="81" spans="1:16" s="38" customFormat="1" ht="22.5" customHeight="1">
      <c r="A81" s="161">
        <v>3</v>
      </c>
      <c r="B81" s="93" t="s">
        <v>157</v>
      </c>
      <c r="C81" s="133">
        <v>22</v>
      </c>
      <c r="D81" s="163">
        <f>0.3*1300*12*C81</f>
        <v>102960</v>
      </c>
      <c r="E81" s="133">
        <v>28</v>
      </c>
      <c r="F81" s="163">
        <f>0.3*1400*12*E81</f>
        <v>141120</v>
      </c>
      <c r="G81" s="133">
        <v>28</v>
      </c>
      <c r="H81" s="163">
        <f>0.3*1500*12*G81</f>
        <v>151200</v>
      </c>
      <c r="I81" s="133">
        <v>32</v>
      </c>
      <c r="J81" s="163">
        <f>0.3*1600*12*I81</f>
        <v>184320</v>
      </c>
      <c r="K81" s="133">
        <v>32</v>
      </c>
      <c r="L81" s="163">
        <f>0.3*1600*12*K81</f>
        <v>184320</v>
      </c>
      <c r="M81" s="133">
        <v>32</v>
      </c>
      <c r="N81" s="163">
        <f>0.3*1600*12*M81</f>
        <v>184320</v>
      </c>
      <c r="O81" s="164">
        <f>C81+E81+G81+K81+M81</f>
        <v>142</v>
      </c>
      <c r="P81" s="163">
        <f>D81+F81+H81+J81+L81+N81</f>
        <v>948240</v>
      </c>
    </row>
    <row r="82" spans="1:16" s="38" customFormat="1" ht="22.5" customHeight="1">
      <c r="A82" s="161">
        <v>4</v>
      </c>
      <c r="B82" s="93" t="s">
        <v>171</v>
      </c>
      <c r="C82" s="133">
        <v>0</v>
      </c>
      <c r="D82" s="163">
        <f>C82*0.3*1300*12</f>
        <v>0</v>
      </c>
      <c r="E82" s="133">
        <v>23</v>
      </c>
      <c r="F82" s="163">
        <f>E82*1300*0.3*12</f>
        <v>107640</v>
      </c>
      <c r="G82" s="133">
        <v>25</v>
      </c>
      <c r="H82" s="163">
        <f>0.3*1500*12*G82</f>
        <v>135000</v>
      </c>
      <c r="I82" s="133">
        <v>26</v>
      </c>
      <c r="J82" s="163">
        <f>0.3*1600*12*I82</f>
        <v>149760</v>
      </c>
      <c r="K82" s="133">
        <v>27</v>
      </c>
      <c r="L82" s="163">
        <f>0.3*1600*12*K82</f>
        <v>155520</v>
      </c>
      <c r="M82" s="133">
        <v>27</v>
      </c>
      <c r="N82" s="163">
        <f>0.3*1600*12*M82</f>
        <v>155520</v>
      </c>
      <c r="O82" s="164">
        <f>C82+E82+G82+K82+M82</f>
        <v>102</v>
      </c>
      <c r="P82" s="163">
        <f>D82+F82+H82+J82+L82+N82</f>
        <v>703440</v>
      </c>
    </row>
    <row r="83" spans="1:16" s="38" customFormat="1" ht="22.5" customHeight="1">
      <c r="A83" s="162" t="s">
        <v>195</v>
      </c>
      <c r="B83" s="94" t="s">
        <v>180</v>
      </c>
      <c r="C83" s="165">
        <f aca="true" t="shared" si="22" ref="C83:P83">SUM(C84:C94)</f>
        <v>188</v>
      </c>
      <c r="D83" s="96">
        <f t="shared" si="22"/>
        <v>1849163</v>
      </c>
      <c r="E83" s="165">
        <f t="shared" si="22"/>
        <v>283</v>
      </c>
      <c r="F83" s="96">
        <f t="shared" si="22"/>
        <v>2387723</v>
      </c>
      <c r="G83" s="165">
        <f t="shared" si="22"/>
        <v>331</v>
      </c>
      <c r="H83" s="96">
        <f t="shared" si="22"/>
        <v>2881247</v>
      </c>
      <c r="I83" s="165">
        <f t="shared" si="22"/>
        <v>368</v>
      </c>
      <c r="J83" s="96">
        <f t="shared" si="22"/>
        <v>3325818</v>
      </c>
      <c r="K83" s="165">
        <f t="shared" si="22"/>
        <v>404</v>
      </c>
      <c r="L83" s="96">
        <f t="shared" si="22"/>
        <v>3521658</v>
      </c>
      <c r="M83" s="165">
        <f t="shared" si="22"/>
        <v>411</v>
      </c>
      <c r="N83" s="96">
        <f t="shared" si="22"/>
        <v>3561978</v>
      </c>
      <c r="O83" s="165">
        <f t="shared" si="22"/>
        <v>1617</v>
      </c>
      <c r="P83" s="96">
        <f t="shared" si="22"/>
        <v>17527587</v>
      </c>
    </row>
    <row r="84" spans="1:16" s="38" customFormat="1" ht="21.75" customHeight="1">
      <c r="A84" s="71">
        <v>1</v>
      </c>
      <c r="B84" s="93" t="s">
        <v>173</v>
      </c>
      <c r="C84" s="133">
        <v>22</v>
      </c>
      <c r="D84" s="163">
        <v>1072283</v>
      </c>
      <c r="E84" s="164">
        <v>22</v>
      </c>
      <c r="F84" s="163">
        <v>1072283</v>
      </c>
      <c r="G84" s="164">
        <v>24</v>
      </c>
      <c r="H84" s="163">
        <v>1223447</v>
      </c>
      <c r="I84" s="164">
        <v>24</v>
      </c>
      <c r="J84" s="163">
        <v>1344378</v>
      </c>
      <c r="K84" s="164">
        <v>26</v>
      </c>
      <c r="L84" s="163">
        <v>1344378</v>
      </c>
      <c r="M84" s="164">
        <v>26</v>
      </c>
      <c r="N84" s="163">
        <v>1344378</v>
      </c>
      <c r="O84" s="164">
        <f aca="true" t="shared" si="23" ref="O84:O94">C84+E84+G84+K84+M84</f>
        <v>120</v>
      </c>
      <c r="P84" s="163">
        <f aca="true" t="shared" si="24" ref="P84:P94">D84+F84+H84+J84+L84+N84</f>
        <v>7401147</v>
      </c>
    </row>
    <row r="85" spans="1:16" s="38" customFormat="1" ht="21.75" customHeight="1">
      <c r="A85" s="71">
        <v>2</v>
      </c>
      <c r="B85" s="102" t="s">
        <v>185</v>
      </c>
      <c r="C85" s="133">
        <v>30</v>
      </c>
      <c r="D85" s="163">
        <f aca="true" t="shared" si="25" ref="D85:D94">0.3*1300*12*C85</f>
        <v>140400</v>
      </c>
      <c r="E85" s="167">
        <v>38</v>
      </c>
      <c r="F85" s="163">
        <f aca="true" t="shared" si="26" ref="F85:F94">0.3*1400*12*E85</f>
        <v>191520</v>
      </c>
      <c r="G85" s="167">
        <v>44</v>
      </c>
      <c r="H85" s="163">
        <f aca="true" t="shared" si="27" ref="H85:H94">0.3*1500*12*G85</f>
        <v>237600</v>
      </c>
      <c r="I85" s="167">
        <v>47</v>
      </c>
      <c r="J85" s="163">
        <f aca="true" t="shared" si="28" ref="J85:L94">0.3*1600*12*I85</f>
        <v>270720</v>
      </c>
      <c r="K85" s="167">
        <v>48</v>
      </c>
      <c r="L85" s="163">
        <f t="shared" si="28"/>
        <v>276480</v>
      </c>
      <c r="M85" s="167">
        <v>49</v>
      </c>
      <c r="N85" s="163">
        <f>0.3*1600*12*M85</f>
        <v>282240</v>
      </c>
      <c r="O85" s="164">
        <f t="shared" si="23"/>
        <v>209</v>
      </c>
      <c r="P85" s="163">
        <f t="shared" si="24"/>
        <v>1398960</v>
      </c>
    </row>
    <row r="86" spans="1:16" s="38" customFormat="1" ht="21.75" customHeight="1">
      <c r="A86" s="71">
        <v>3</v>
      </c>
      <c r="B86" s="102" t="s">
        <v>186</v>
      </c>
      <c r="C86" s="133">
        <v>46</v>
      </c>
      <c r="D86" s="163">
        <f t="shared" si="25"/>
        <v>215280</v>
      </c>
      <c r="E86" s="133">
        <v>52</v>
      </c>
      <c r="F86" s="163">
        <f t="shared" si="26"/>
        <v>262080</v>
      </c>
      <c r="G86" s="164">
        <v>58</v>
      </c>
      <c r="H86" s="163">
        <f t="shared" si="27"/>
        <v>313200</v>
      </c>
      <c r="I86" s="164">
        <v>63</v>
      </c>
      <c r="J86" s="163">
        <f t="shared" si="28"/>
        <v>362880</v>
      </c>
      <c r="K86" s="164">
        <v>63</v>
      </c>
      <c r="L86" s="163">
        <f t="shared" si="28"/>
        <v>362880</v>
      </c>
      <c r="M86" s="164">
        <v>63</v>
      </c>
      <c r="N86" s="163">
        <f aca="true" t="shared" si="29" ref="N86:N94">0.3*1600*12*M86</f>
        <v>362880</v>
      </c>
      <c r="O86" s="164">
        <f t="shared" si="23"/>
        <v>282</v>
      </c>
      <c r="P86" s="163">
        <f t="shared" si="24"/>
        <v>1879200</v>
      </c>
    </row>
    <row r="87" spans="1:16" s="38" customFormat="1" ht="21.75" customHeight="1">
      <c r="A87" s="71">
        <v>4</v>
      </c>
      <c r="B87" s="102" t="s">
        <v>187</v>
      </c>
      <c r="C87" s="133">
        <v>42</v>
      </c>
      <c r="D87" s="163">
        <f t="shared" si="25"/>
        <v>196560</v>
      </c>
      <c r="E87" s="133">
        <v>44</v>
      </c>
      <c r="F87" s="163">
        <f t="shared" si="26"/>
        <v>221760</v>
      </c>
      <c r="G87" s="133">
        <v>48</v>
      </c>
      <c r="H87" s="163">
        <f t="shared" si="27"/>
        <v>259200</v>
      </c>
      <c r="I87" s="133">
        <v>52</v>
      </c>
      <c r="J87" s="163">
        <f t="shared" si="28"/>
        <v>299520</v>
      </c>
      <c r="K87" s="133">
        <v>52</v>
      </c>
      <c r="L87" s="163">
        <f t="shared" si="28"/>
        <v>299520</v>
      </c>
      <c r="M87" s="133">
        <v>52</v>
      </c>
      <c r="N87" s="163">
        <f t="shared" si="29"/>
        <v>299520</v>
      </c>
      <c r="O87" s="164">
        <f t="shared" si="23"/>
        <v>238</v>
      </c>
      <c r="P87" s="163">
        <f t="shared" si="24"/>
        <v>1576080</v>
      </c>
    </row>
    <row r="88" spans="1:16" s="38" customFormat="1" ht="21.75" customHeight="1">
      <c r="A88" s="71">
        <v>5</v>
      </c>
      <c r="B88" s="102" t="s">
        <v>188</v>
      </c>
      <c r="C88" s="133">
        <v>48</v>
      </c>
      <c r="D88" s="163">
        <f t="shared" si="25"/>
        <v>224640</v>
      </c>
      <c r="E88" s="133">
        <v>52</v>
      </c>
      <c r="F88" s="163">
        <f t="shared" si="26"/>
        <v>262080</v>
      </c>
      <c r="G88" s="133">
        <v>56</v>
      </c>
      <c r="H88" s="163">
        <f t="shared" si="27"/>
        <v>302400</v>
      </c>
      <c r="I88" s="133">
        <v>58</v>
      </c>
      <c r="J88" s="163">
        <f t="shared" si="28"/>
        <v>334080</v>
      </c>
      <c r="K88" s="133">
        <v>60</v>
      </c>
      <c r="L88" s="163">
        <f t="shared" si="28"/>
        <v>345600</v>
      </c>
      <c r="M88" s="133">
        <v>62</v>
      </c>
      <c r="N88" s="163">
        <f t="shared" si="29"/>
        <v>357120</v>
      </c>
      <c r="O88" s="164">
        <f t="shared" si="23"/>
        <v>278</v>
      </c>
      <c r="P88" s="163">
        <f t="shared" si="24"/>
        <v>1825920</v>
      </c>
    </row>
    <row r="89" spans="1:19" s="38" customFormat="1" ht="21.75" customHeight="1">
      <c r="A89" s="71">
        <v>6</v>
      </c>
      <c r="B89" s="102" t="s">
        <v>258</v>
      </c>
      <c r="C89" s="133">
        <v>0</v>
      </c>
      <c r="D89" s="163">
        <f t="shared" si="25"/>
        <v>0</v>
      </c>
      <c r="E89" s="133">
        <v>0</v>
      </c>
      <c r="F89" s="163">
        <f t="shared" si="26"/>
        <v>0</v>
      </c>
      <c r="G89" s="133">
        <v>0</v>
      </c>
      <c r="H89" s="163">
        <f t="shared" si="27"/>
        <v>0</v>
      </c>
      <c r="I89" s="133">
        <v>20</v>
      </c>
      <c r="J89" s="163">
        <f t="shared" si="28"/>
        <v>115200</v>
      </c>
      <c r="K89" s="133">
        <v>20</v>
      </c>
      <c r="L89" s="163">
        <f t="shared" si="28"/>
        <v>115200</v>
      </c>
      <c r="M89" s="133">
        <v>20</v>
      </c>
      <c r="N89" s="163">
        <f t="shared" si="29"/>
        <v>115200</v>
      </c>
      <c r="O89" s="164">
        <f t="shared" si="23"/>
        <v>40</v>
      </c>
      <c r="P89" s="163">
        <f t="shared" si="24"/>
        <v>345600</v>
      </c>
      <c r="S89" s="44"/>
    </row>
    <row r="90" spans="1:16" s="38" customFormat="1" ht="26.25" customHeight="1">
      <c r="A90" s="71">
        <v>7</v>
      </c>
      <c r="B90" s="102" t="s">
        <v>251</v>
      </c>
      <c r="C90" s="133">
        <v>0</v>
      </c>
      <c r="D90" s="163">
        <f t="shared" si="25"/>
        <v>0</v>
      </c>
      <c r="E90" s="133">
        <v>75</v>
      </c>
      <c r="F90" s="163">
        <f t="shared" si="26"/>
        <v>378000</v>
      </c>
      <c r="G90" s="133">
        <v>76</v>
      </c>
      <c r="H90" s="163">
        <f t="shared" si="27"/>
        <v>410400</v>
      </c>
      <c r="I90" s="133">
        <v>77</v>
      </c>
      <c r="J90" s="163">
        <f t="shared" si="28"/>
        <v>443520</v>
      </c>
      <c r="K90" s="133">
        <v>77</v>
      </c>
      <c r="L90" s="163">
        <f t="shared" si="28"/>
        <v>443520</v>
      </c>
      <c r="M90" s="133">
        <v>78</v>
      </c>
      <c r="N90" s="163">
        <f t="shared" si="29"/>
        <v>449280</v>
      </c>
      <c r="O90" s="164">
        <f t="shared" si="23"/>
        <v>306</v>
      </c>
      <c r="P90" s="163">
        <f t="shared" si="24"/>
        <v>2124720</v>
      </c>
    </row>
    <row r="91" spans="1:16" s="38" customFormat="1" ht="16.5" customHeight="1">
      <c r="A91" s="234" t="s">
        <v>10</v>
      </c>
      <c r="B91" s="234" t="s">
        <v>0</v>
      </c>
      <c r="C91" s="230" t="s">
        <v>80</v>
      </c>
      <c r="D91" s="232"/>
      <c r="E91" s="230" t="s">
        <v>81</v>
      </c>
      <c r="F91" s="232"/>
      <c r="G91" s="230" t="s">
        <v>210</v>
      </c>
      <c r="H91" s="232"/>
      <c r="I91" s="230" t="s">
        <v>223</v>
      </c>
      <c r="J91" s="232"/>
      <c r="K91" s="228" t="s">
        <v>243</v>
      </c>
      <c r="L91" s="228"/>
      <c r="M91" s="228" t="s">
        <v>244</v>
      </c>
      <c r="N91" s="228"/>
      <c r="O91" s="228" t="s">
        <v>82</v>
      </c>
      <c r="P91" s="228"/>
    </row>
    <row r="92" spans="1:16" s="38" customFormat="1" ht="51">
      <c r="A92" s="234"/>
      <c r="B92" s="234"/>
      <c r="C92" s="24" t="s">
        <v>88</v>
      </c>
      <c r="D92" s="24" t="s">
        <v>83</v>
      </c>
      <c r="E92" s="24" t="s">
        <v>88</v>
      </c>
      <c r="F92" s="24" t="s">
        <v>83</v>
      </c>
      <c r="G92" s="24" t="s">
        <v>88</v>
      </c>
      <c r="H92" s="24" t="s">
        <v>83</v>
      </c>
      <c r="I92" s="24" t="s">
        <v>88</v>
      </c>
      <c r="J92" s="24" t="s">
        <v>83</v>
      </c>
      <c r="K92" s="24" t="s">
        <v>88</v>
      </c>
      <c r="L92" s="24" t="s">
        <v>83</v>
      </c>
      <c r="M92" s="24" t="s">
        <v>88</v>
      </c>
      <c r="N92" s="24" t="s">
        <v>83</v>
      </c>
      <c r="O92" s="24" t="s">
        <v>88</v>
      </c>
      <c r="P92" s="24" t="s">
        <v>83</v>
      </c>
    </row>
    <row r="93" spans="1:16" s="38" customFormat="1" ht="21.75" customHeight="1">
      <c r="A93" s="71">
        <v>8</v>
      </c>
      <c r="B93" s="102" t="s">
        <v>252</v>
      </c>
      <c r="C93" s="133">
        <v>0</v>
      </c>
      <c r="D93" s="163">
        <f t="shared" si="25"/>
        <v>0</v>
      </c>
      <c r="E93" s="133">
        <v>0</v>
      </c>
      <c r="F93" s="163">
        <f t="shared" si="26"/>
        <v>0</v>
      </c>
      <c r="G93" s="133">
        <v>25</v>
      </c>
      <c r="H93" s="163">
        <f t="shared" si="27"/>
        <v>135000</v>
      </c>
      <c r="I93" s="133">
        <v>27</v>
      </c>
      <c r="J93" s="163">
        <f t="shared" si="28"/>
        <v>155520</v>
      </c>
      <c r="K93" s="133">
        <v>28</v>
      </c>
      <c r="L93" s="163">
        <f t="shared" si="28"/>
        <v>161280</v>
      </c>
      <c r="M93" s="133">
        <v>29</v>
      </c>
      <c r="N93" s="163">
        <f t="shared" si="29"/>
        <v>167040</v>
      </c>
      <c r="O93" s="164">
        <f t="shared" si="23"/>
        <v>82</v>
      </c>
      <c r="P93" s="163">
        <f t="shared" si="24"/>
        <v>618840</v>
      </c>
    </row>
    <row r="94" spans="1:16" s="38" customFormat="1" ht="21.75" customHeight="1">
      <c r="A94" s="71">
        <v>9</v>
      </c>
      <c r="B94" s="102" t="s">
        <v>254</v>
      </c>
      <c r="C94" s="133">
        <v>0</v>
      </c>
      <c r="D94" s="163">
        <f t="shared" si="25"/>
        <v>0</v>
      </c>
      <c r="E94" s="133">
        <v>0</v>
      </c>
      <c r="F94" s="163">
        <f t="shared" si="26"/>
        <v>0</v>
      </c>
      <c r="G94" s="133">
        <v>0</v>
      </c>
      <c r="H94" s="163">
        <f t="shared" si="27"/>
        <v>0</v>
      </c>
      <c r="I94" s="133">
        <v>0</v>
      </c>
      <c r="J94" s="163">
        <f t="shared" si="28"/>
        <v>0</v>
      </c>
      <c r="K94" s="133">
        <v>30</v>
      </c>
      <c r="L94" s="163">
        <f t="shared" si="28"/>
        <v>172800</v>
      </c>
      <c r="M94" s="133">
        <v>32</v>
      </c>
      <c r="N94" s="163">
        <f t="shared" si="29"/>
        <v>184320</v>
      </c>
      <c r="O94" s="164">
        <f t="shared" si="23"/>
        <v>62</v>
      </c>
      <c r="P94" s="163">
        <f t="shared" si="24"/>
        <v>357120</v>
      </c>
    </row>
    <row r="95" spans="1:17" s="39" customFormat="1" ht="22.5" customHeight="1">
      <c r="A95" s="29"/>
      <c r="B95" s="99" t="s">
        <v>112</v>
      </c>
      <c r="C95" s="165">
        <f>C83+C78+C74++C69+C68</f>
        <v>440</v>
      </c>
      <c r="D95" s="96">
        <f>D83+D78+D74+D69+D68</f>
        <v>7117953.1</v>
      </c>
      <c r="E95" s="165">
        <f>E83+E78+E74++E69+E68</f>
        <v>574</v>
      </c>
      <c r="F95" s="96">
        <f>F83+F78+F74+F69+F68</f>
        <v>8405513</v>
      </c>
      <c r="G95" s="165">
        <f>G83+G78+G74++G69+G68</f>
        <v>635</v>
      </c>
      <c r="H95" s="96">
        <f>H83+H78+H74+H69+H68</f>
        <v>9346797</v>
      </c>
      <c r="I95" s="165">
        <f>I83+I78+I74++I69+I68</f>
        <v>682</v>
      </c>
      <c r="J95" s="96">
        <f>J83+J78+J74+J69+J68</f>
        <v>10996388</v>
      </c>
      <c r="K95" s="165">
        <f>K83+K78+K74++K69+K68</f>
        <v>721</v>
      </c>
      <c r="L95" s="96">
        <f>L83+L78+L74+L69+L68</f>
        <v>11197988</v>
      </c>
      <c r="M95" s="165">
        <f>M83+M78+M74++M69+M68</f>
        <v>728</v>
      </c>
      <c r="N95" s="96">
        <f>N83+N78+N74+N69+N68</f>
        <v>11238308</v>
      </c>
      <c r="O95" s="165">
        <f>O83+O78+O74++O69+O68</f>
        <v>3098</v>
      </c>
      <c r="P95" s="96">
        <f>P83+P78+P74+P69+P68</f>
        <v>58302947.1</v>
      </c>
      <c r="Q95" s="38"/>
    </row>
    <row r="96" spans="1:17" s="168" customFormat="1" ht="21.75" customHeight="1">
      <c r="A96" s="25"/>
      <c r="B96" s="169" t="s">
        <v>205</v>
      </c>
      <c r="C96" s="133">
        <f aca="true" t="shared" si="30" ref="C96:P96">C68+C70+C75+C79+C84</f>
        <v>108</v>
      </c>
      <c r="D96" s="95">
        <f t="shared" si="30"/>
        <v>5564193.1</v>
      </c>
      <c r="E96" s="133">
        <f t="shared" si="30"/>
        <v>112</v>
      </c>
      <c r="F96" s="95">
        <f t="shared" si="30"/>
        <v>6085313</v>
      </c>
      <c r="G96" s="133">
        <f t="shared" si="30"/>
        <v>118</v>
      </c>
      <c r="H96" s="95">
        <f t="shared" si="30"/>
        <v>6554997</v>
      </c>
      <c r="I96" s="133">
        <f t="shared" si="30"/>
        <v>121</v>
      </c>
      <c r="J96" s="95">
        <f t="shared" si="30"/>
        <v>7765028</v>
      </c>
      <c r="K96" s="133">
        <f t="shared" si="30"/>
        <v>125</v>
      </c>
      <c r="L96" s="95">
        <f t="shared" si="30"/>
        <v>7765028</v>
      </c>
      <c r="M96" s="133">
        <f t="shared" si="30"/>
        <v>125</v>
      </c>
      <c r="N96" s="95">
        <f t="shared" si="30"/>
        <v>7765028</v>
      </c>
      <c r="O96" s="133">
        <f t="shared" si="30"/>
        <v>588</v>
      </c>
      <c r="P96" s="95">
        <f t="shared" si="30"/>
        <v>41499587.1</v>
      </c>
      <c r="Q96" s="33"/>
    </row>
    <row r="97" spans="1:17" s="168" customFormat="1" ht="21.75" customHeight="1">
      <c r="A97" s="25"/>
      <c r="B97" s="169" t="s">
        <v>206</v>
      </c>
      <c r="C97" s="133">
        <f aca="true" t="shared" si="31" ref="C97:P97">C95-C96</f>
        <v>332</v>
      </c>
      <c r="D97" s="95">
        <f t="shared" si="31"/>
        <v>1553760</v>
      </c>
      <c r="E97" s="133">
        <f t="shared" si="31"/>
        <v>462</v>
      </c>
      <c r="F97" s="95">
        <f t="shared" si="31"/>
        <v>2320200</v>
      </c>
      <c r="G97" s="133">
        <f t="shared" si="31"/>
        <v>517</v>
      </c>
      <c r="H97" s="95">
        <f t="shared" si="31"/>
        <v>2791800</v>
      </c>
      <c r="I97" s="133">
        <f>I95-I96</f>
        <v>561</v>
      </c>
      <c r="J97" s="95">
        <f>J95-J96</f>
        <v>3231360</v>
      </c>
      <c r="K97" s="133">
        <f t="shared" si="31"/>
        <v>596</v>
      </c>
      <c r="L97" s="95">
        <f t="shared" si="31"/>
        <v>3432960</v>
      </c>
      <c r="M97" s="133">
        <f>M95-M96</f>
        <v>603</v>
      </c>
      <c r="N97" s="95">
        <f>N95-N96</f>
        <v>3473280</v>
      </c>
      <c r="O97" s="133">
        <f t="shared" si="31"/>
        <v>2510</v>
      </c>
      <c r="P97" s="95">
        <f t="shared" si="31"/>
        <v>16803360</v>
      </c>
      <c r="Q97" s="33"/>
    </row>
    <row r="98" spans="1:17" s="168" customFormat="1" ht="21.75" customHeight="1">
      <c r="A98" s="25"/>
      <c r="B98" s="169" t="s">
        <v>261</v>
      </c>
      <c r="C98" s="154"/>
      <c r="D98" s="154">
        <v>1270110</v>
      </c>
      <c r="E98" s="154"/>
      <c r="F98" s="154">
        <f>F95-D95</f>
        <v>1287559.9000000004</v>
      </c>
      <c r="G98" s="154"/>
      <c r="H98" s="154">
        <f>H95-F95</f>
        <v>941284</v>
      </c>
      <c r="I98" s="154"/>
      <c r="J98" s="154">
        <f>J95-H95</f>
        <v>1649591</v>
      </c>
      <c r="K98" s="154"/>
      <c r="L98" s="154">
        <f>L95-J95</f>
        <v>201600</v>
      </c>
      <c r="M98" s="154"/>
      <c r="N98" s="154">
        <f>N95-L95</f>
        <v>40320</v>
      </c>
      <c r="O98" s="154"/>
      <c r="P98" s="154">
        <f>SUM(D98:N98)</f>
        <v>5390464.9</v>
      </c>
      <c r="Q98" s="33"/>
    </row>
  </sheetData>
  <sheetProtection/>
  <mergeCells count="38">
    <mergeCell ref="O28:P28"/>
    <mergeCell ref="A91:A92"/>
    <mergeCell ref="B91:B92"/>
    <mergeCell ref="C91:D91"/>
    <mergeCell ref="E91:F91"/>
    <mergeCell ref="G91:H91"/>
    <mergeCell ref="I91:J91"/>
    <mergeCell ref="K91:L91"/>
    <mergeCell ref="M91:N91"/>
    <mergeCell ref="O91:P91"/>
    <mergeCell ref="C66:D66"/>
    <mergeCell ref="I66:J66"/>
    <mergeCell ref="A28:A29"/>
    <mergeCell ref="B28:B29"/>
    <mergeCell ref="C28:D28"/>
    <mergeCell ref="E28:F28"/>
    <mergeCell ref="G28:H28"/>
    <mergeCell ref="I28:J28"/>
    <mergeCell ref="A4:P4"/>
    <mergeCell ref="B64:P64"/>
    <mergeCell ref="B66:B67"/>
    <mergeCell ref="E66:F66"/>
    <mergeCell ref="G66:H66"/>
    <mergeCell ref="K66:L66"/>
    <mergeCell ref="O66:P66"/>
    <mergeCell ref="K6:L6"/>
    <mergeCell ref="O6:P6"/>
    <mergeCell ref="K28:L28"/>
    <mergeCell ref="M6:N6"/>
    <mergeCell ref="M66:N66"/>
    <mergeCell ref="A6:A7"/>
    <mergeCell ref="I6:J6"/>
    <mergeCell ref="B6:B7"/>
    <mergeCell ref="C6:D6"/>
    <mergeCell ref="E6:F6"/>
    <mergeCell ref="G6:H6"/>
    <mergeCell ref="M28:N28"/>
    <mergeCell ref="A66:A67"/>
  </mergeCells>
  <printOptions/>
  <pageMargins left="0.5" right="0.5" top="0.75" bottom="0.75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67">
      <selection activeCell="B71" sqref="B71"/>
    </sheetView>
  </sheetViews>
  <sheetFormatPr defaultColWidth="9.140625" defaultRowHeight="12.75"/>
  <cols>
    <col min="1" max="1" width="6.28125" style="36" customWidth="1"/>
    <col min="2" max="2" width="37.57421875" style="0" customWidth="1"/>
    <col min="3" max="3" width="9.8515625" style="0" customWidth="1"/>
    <col min="4" max="4" width="8.8515625" style="0" customWidth="1"/>
    <col min="5" max="5" width="7.421875" style="0" customWidth="1"/>
    <col min="6" max="6" width="8.00390625" style="0" customWidth="1"/>
    <col min="7" max="7" width="8.8515625" style="0" customWidth="1"/>
    <col min="8" max="10" width="7.421875" style="0" customWidth="1"/>
    <col min="11" max="11" width="6.57421875" style="0" customWidth="1"/>
    <col min="12" max="12" width="7.28125" style="0" customWidth="1"/>
    <col min="13" max="14" width="7.421875" style="0" customWidth="1"/>
    <col min="15" max="15" width="7.421875" style="36" customWidth="1"/>
    <col min="16" max="16" width="8.8515625" style="36" customWidth="1"/>
    <col min="17" max="16384" width="9.140625" style="36" customWidth="1"/>
  </cols>
  <sheetData>
    <row r="1" spans="2:14" ht="16.5">
      <c r="B1" s="237" t="s">
        <v>89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2:14" ht="16.5">
      <c r="B2" s="237" t="s">
        <v>255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4" ht="16.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s="15" customFormat="1" ht="20.25" customHeight="1">
      <c r="A4" s="14" t="s">
        <v>117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6" spans="1:16" s="15" customFormat="1" ht="18.75" customHeight="1">
      <c r="A6" s="226" t="s">
        <v>10</v>
      </c>
      <c r="B6" s="226" t="s">
        <v>0</v>
      </c>
      <c r="C6" s="226" t="s">
        <v>222</v>
      </c>
      <c r="D6" s="226" t="s">
        <v>27</v>
      </c>
      <c r="E6" s="226" t="s">
        <v>26</v>
      </c>
      <c r="F6" s="226" t="s">
        <v>28</v>
      </c>
      <c r="G6" s="226" t="s">
        <v>150</v>
      </c>
      <c r="H6" s="226" t="s">
        <v>38</v>
      </c>
      <c r="I6" s="226"/>
      <c r="J6" s="226"/>
      <c r="K6" s="226"/>
      <c r="L6" s="226"/>
      <c r="M6" s="226"/>
      <c r="N6" s="226"/>
      <c r="O6" s="226"/>
      <c r="P6" s="226" t="s">
        <v>256</v>
      </c>
    </row>
    <row r="7" spans="1:16" s="15" customFormat="1" ht="69.75" customHeight="1">
      <c r="A7" s="226"/>
      <c r="B7" s="226"/>
      <c r="C7" s="226"/>
      <c r="D7" s="226" t="s">
        <v>25</v>
      </c>
      <c r="E7" s="226"/>
      <c r="F7" s="226"/>
      <c r="G7" s="226"/>
      <c r="H7" s="16" t="s">
        <v>30</v>
      </c>
      <c r="I7" s="16" t="s">
        <v>31</v>
      </c>
      <c r="J7" s="16" t="s">
        <v>32</v>
      </c>
      <c r="K7" s="16" t="s">
        <v>33</v>
      </c>
      <c r="L7" s="16" t="s">
        <v>34</v>
      </c>
      <c r="M7" s="16" t="s">
        <v>35</v>
      </c>
      <c r="N7" s="16" t="s">
        <v>36</v>
      </c>
      <c r="O7" s="16" t="s">
        <v>37</v>
      </c>
      <c r="P7" s="226"/>
    </row>
    <row r="8" spans="1:16" s="15" customFormat="1" ht="18.7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</row>
    <row r="9" spans="1:16" s="15" customFormat="1" ht="21.75" customHeight="1">
      <c r="A9" s="255" t="s">
        <v>40</v>
      </c>
      <c r="B9" s="64" t="s">
        <v>149</v>
      </c>
      <c r="C9" s="126">
        <f>SUM(D9:O9)</f>
        <v>3.599999999999998</v>
      </c>
      <c r="D9" s="126">
        <v>1</v>
      </c>
      <c r="E9" s="126">
        <v>0</v>
      </c>
      <c r="F9" s="126">
        <v>0</v>
      </c>
      <c r="G9" s="126">
        <v>1.5999999999999979</v>
      </c>
      <c r="H9" s="126">
        <v>0</v>
      </c>
      <c r="I9" s="126">
        <v>1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30"/>
    </row>
    <row r="10" spans="1:16" s="15" customFormat="1" ht="21.75" customHeight="1">
      <c r="A10" s="42" t="s">
        <v>193</v>
      </c>
      <c r="B10" s="10" t="s">
        <v>131</v>
      </c>
      <c r="C10" s="126">
        <f aca="true" t="shared" si="0" ref="C10:C40">SUM(D10:O10)</f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30"/>
    </row>
    <row r="11" spans="1:16" s="15" customFormat="1" ht="21.75" customHeight="1">
      <c r="A11" s="43">
        <v>1</v>
      </c>
      <c r="B11" s="64" t="s">
        <v>138</v>
      </c>
      <c r="C11" s="126">
        <f t="shared" si="0"/>
        <v>3.6000000000000014</v>
      </c>
      <c r="D11" s="126">
        <v>0</v>
      </c>
      <c r="E11" s="126">
        <v>0</v>
      </c>
      <c r="F11" s="126">
        <v>0</v>
      </c>
      <c r="G11" s="126">
        <v>0.6000000000000014</v>
      </c>
      <c r="H11" s="126">
        <v>0</v>
      </c>
      <c r="I11" s="126">
        <v>1</v>
      </c>
      <c r="J11" s="126">
        <v>1</v>
      </c>
      <c r="K11" s="126">
        <v>0</v>
      </c>
      <c r="L11" s="126">
        <v>0</v>
      </c>
      <c r="M11" s="126">
        <v>0</v>
      </c>
      <c r="N11" s="126">
        <v>0</v>
      </c>
      <c r="O11" s="126">
        <v>1</v>
      </c>
      <c r="P11" s="127"/>
    </row>
    <row r="12" spans="1:16" s="15" customFormat="1" ht="21.75" customHeight="1">
      <c r="A12" s="43">
        <v>2</v>
      </c>
      <c r="B12" s="64" t="s">
        <v>139</v>
      </c>
      <c r="C12" s="126">
        <f t="shared" si="0"/>
        <v>4.5</v>
      </c>
      <c r="D12" s="126">
        <v>0</v>
      </c>
      <c r="E12" s="126">
        <v>1</v>
      </c>
      <c r="F12" s="126">
        <v>-0.5</v>
      </c>
      <c r="G12" s="126">
        <v>0</v>
      </c>
      <c r="H12" s="126">
        <v>1</v>
      </c>
      <c r="I12" s="126">
        <v>1</v>
      </c>
      <c r="J12" s="126">
        <v>0</v>
      </c>
      <c r="K12" s="126">
        <v>0</v>
      </c>
      <c r="L12" s="126">
        <v>1</v>
      </c>
      <c r="M12" s="126">
        <v>1</v>
      </c>
      <c r="N12" s="126">
        <v>0</v>
      </c>
      <c r="O12" s="126">
        <v>0</v>
      </c>
      <c r="P12" s="131"/>
    </row>
    <row r="13" spans="1:16" s="15" customFormat="1" ht="21.75" customHeight="1">
      <c r="A13" s="43">
        <v>3</v>
      </c>
      <c r="B13" s="64" t="s">
        <v>140</v>
      </c>
      <c r="C13" s="126">
        <f t="shared" si="0"/>
        <v>5.5</v>
      </c>
      <c r="D13" s="126">
        <v>1</v>
      </c>
      <c r="E13" s="126">
        <v>1</v>
      </c>
      <c r="F13" s="126">
        <v>-0.5</v>
      </c>
      <c r="G13" s="126">
        <v>0</v>
      </c>
      <c r="H13" s="126">
        <v>1</v>
      </c>
      <c r="I13" s="126">
        <v>1</v>
      </c>
      <c r="J13" s="126">
        <v>0</v>
      </c>
      <c r="K13" s="126">
        <v>0</v>
      </c>
      <c r="L13" s="126">
        <v>1</v>
      </c>
      <c r="M13" s="126">
        <v>1</v>
      </c>
      <c r="N13" s="126">
        <v>0</v>
      </c>
      <c r="O13" s="126">
        <v>0</v>
      </c>
      <c r="P13" s="206"/>
    </row>
    <row r="14" spans="1:16" s="15" customFormat="1" ht="21.75" customHeight="1">
      <c r="A14" s="43">
        <v>4</v>
      </c>
      <c r="B14" s="64" t="s">
        <v>141</v>
      </c>
      <c r="C14" s="126">
        <f t="shared" si="0"/>
        <v>2</v>
      </c>
      <c r="D14" s="126">
        <v>1</v>
      </c>
      <c r="E14" s="126">
        <v>1</v>
      </c>
      <c r="F14" s="126">
        <v>-3</v>
      </c>
      <c r="G14" s="126">
        <v>0</v>
      </c>
      <c r="H14" s="126">
        <v>1</v>
      </c>
      <c r="I14" s="126">
        <v>0</v>
      </c>
      <c r="J14" s="126">
        <v>0</v>
      </c>
      <c r="K14" s="126">
        <v>0</v>
      </c>
      <c r="L14" s="126">
        <v>1</v>
      </c>
      <c r="M14" s="126">
        <v>1</v>
      </c>
      <c r="N14" s="126">
        <v>0</v>
      </c>
      <c r="O14" s="126">
        <v>0</v>
      </c>
      <c r="P14" s="205"/>
    </row>
    <row r="15" spans="1:16" s="15" customFormat="1" ht="21.75" customHeight="1">
      <c r="A15" s="42" t="s">
        <v>194</v>
      </c>
      <c r="B15" s="10" t="s">
        <v>148</v>
      </c>
      <c r="C15" s="126">
        <f t="shared" si="0"/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30"/>
    </row>
    <row r="16" spans="1:16" s="15" customFormat="1" ht="21.75" customHeight="1">
      <c r="A16" s="43">
        <v>1</v>
      </c>
      <c r="B16" s="64" t="s">
        <v>142</v>
      </c>
      <c r="C16" s="126">
        <f t="shared" si="0"/>
        <v>1.200000000000001</v>
      </c>
      <c r="D16" s="126">
        <v>0</v>
      </c>
      <c r="E16" s="126">
        <v>0</v>
      </c>
      <c r="F16" s="126">
        <v>0</v>
      </c>
      <c r="G16" s="126">
        <v>-0.7999999999999989</v>
      </c>
      <c r="H16" s="126">
        <v>0</v>
      </c>
      <c r="I16" s="126">
        <v>0</v>
      </c>
      <c r="J16" s="126">
        <v>0</v>
      </c>
      <c r="K16" s="126">
        <v>0</v>
      </c>
      <c r="L16" s="126">
        <v>1</v>
      </c>
      <c r="M16" s="126">
        <v>0</v>
      </c>
      <c r="N16" s="126">
        <v>0</v>
      </c>
      <c r="O16" s="126">
        <v>1</v>
      </c>
      <c r="P16" s="127"/>
    </row>
    <row r="17" spans="1:16" s="15" customFormat="1" ht="21.75" customHeight="1">
      <c r="A17" s="43">
        <v>2</v>
      </c>
      <c r="B17" s="64" t="s">
        <v>209</v>
      </c>
      <c r="C17" s="126">
        <f t="shared" si="0"/>
        <v>3</v>
      </c>
      <c r="D17" s="126">
        <v>1</v>
      </c>
      <c r="E17" s="126">
        <v>1</v>
      </c>
      <c r="F17" s="126">
        <v>-2</v>
      </c>
      <c r="G17" s="126">
        <v>0</v>
      </c>
      <c r="H17" s="126">
        <v>0</v>
      </c>
      <c r="I17" s="126">
        <v>1</v>
      </c>
      <c r="J17" s="126">
        <v>0</v>
      </c>
      <c r="K17" s="126">
        <v>0</v>
      </c>
      <c r="L17" s="126">
        <v>1</v>
      </c>
      <c r="M17" s="126">
        <v>1</v>
      </c>
      <c r="N17" s="126">
        <v>0</v>
      </c>
      <c r="O17" s="126">
        <v>0</v>
      </c>
      <c r="P17" s="194"/>
    </row>
    <row r="18" spans="1:16" s="15" customFormat="1" ht="21.75" customHeight="1">
      <c r="A18" s="43">
        <v>3</v>
      </c>
      <c r="B18" s="64" t="s">
        <v>147</v>
      </c>
      <c r="C18" s="126">
        <f t="shared" si="0"/>
        <v>-0.39999999999999947</v>
      </c>
      <c r="D18" s="126">
        <v>0</v>
      </c>
      <c r="E18" s="126">
        <v>0</v>
      </c>
      <c r="F18" s="126">
        <v>-2</v>
      </c>
      <c r="G18" s="126">
        <v>-0.39999999999999947</v>
      </c>
      <c r="H18" s="126">
        <v>0</v>
      </c>
      <c r="I18" s="126">
        <v>1</v>
      </c>
      <c r="J18" s="126">
        <v>0</v>
      </c>
      <c r="K18" s="126">
        <v>0</v>
      </c>
      <c r="L18" s="126">
        <v>0</v>
      </c>
      <c r="M18" s="126">
        <v>1</v>
      </c>
      <c r="N18" s="126">
        <v>0</v>
      </c>
      <c r="O18" s="126">
        <v>0</v>
      </c>
      <c r="P18" s="194"/>
    </row>
    <row r="19" spans="1:16" s="15" customFormat="1" ht="21.75" customHeight="1">
      <c r="A19" s="42" t="s">
        <v>195</v>
      </c>
      <c r="B19" s="10" t="s">
        <v>152</v>
      </c>
      <c r="C19" s="126">
        <f t="shared" si="0"/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30"/>
    </row>
    <row r="20" spans="1:16" s="15" customFormat="1" ht="21.75" customHeight="1">
      <c r="A20" s="253">
        <v>1</v>
      </c>
      <c r="B20" s="98" t="s">
        <v>163</v>
      </c>
      <c r="C20" s="126">
        <f t="shared" si="0"/>
        <v>2.6000000000000014</v>
      </c>
      <c r="D20" s="126">
        <v>0</v>
      </c>
      <c r="E20" s="126">
        <v>0</v>
      </c>
      <c r="F20" s="126">
        <v>0</v>
      </c>
      <c r="G20" s="126">
        <v>-0.3999999999999986</v>
      </c>
      <c r="H20" s="126">
        <v>0</v>
      </c>
      <c r="I20" s="126">
        <v>0</v>
      </c>
      <c r="J20" s="126">
        <v>0</v>
      </c>
      <c r="K20" s="126">
        <v>0</v>
      </c>
      <c r="L20" s="126">
        <v>1</v>
      </c>
      <c r="M20" s="126">
        <v>0</v>
      </c>
      <c r="N20" s="126">
        <v>0</v>
      </c>
      <c r="O20" s="126">
        <v>2</v>
      </c>
      <c r="P20" s="127"/>
    </row>
    <row r="21" spans="1:16" s="15" customFormat="1" ht="21.75" customHeight="1">
      <c r="A21" s="253">
        <v>2</v>
      </c>
      <c r="B21" s="93" t="s">
        <v>158</v>
      </c>
      <c r="C21" s="126">
        <f t="shared" si="0"/>
        <v>7</v>
      </c>
      <c r="D21" s="126">
        <v>1</v>
      </c>
      <c r="E21" s="126">
        <v>0</v>
      </c>
      <c r="F21" s="126">
        <v>0</v>
      </c>
      <c r="G21" s="126">
        <v>4</v>
      </c>
      <c r="H21" s="126">
        <v>0</v>
      </c>
      <c r="I21" s="126">
        <v>0</v>
      </c>
      <c r="J21" s="126">
        <v>0</v>
      </c>
      <c r="K21" s="126">
        <v>1</v>
      </c>
      <c r="L21" s="126">
        <v>1</v>
      </c>
      <c r="M21" s="126">
        <v>0</v>
      </c>
      <c r="N21" s="126">
        <v>0</v>
      </c>
      <c r="O21" s="126">
        <v>0</v>
      </c>
      <c r="P21" s="194"/>
    </row>
    <row r="22" spans="1:16" s="15" customFormat="1" ht="21.75" customHeight="1">
      <c r="A22" s="253">
        <v>3</v>
      </c>
      <c r="B22" s="93" t="s">
        <v>157</v>
      </c>
      <c r="C22" s="126">
        <f t="shared" si="0"/>
        <v>6.200000000000003</v>
      </c>
      <c r="D22" s="126">
        <v>1</v>
      </c>
      <c r="E22" s="126">
        <v>0</v>
      </c>
      <c r="F22" s="126">
        <v>0</v>
      </c>
      <c r="G22" s="126">
        <v>4.200000000000003</v>
      </c>
      <c r="H22" s="126">
        <v>0</v>
      </c>
      <c r="I22" s="126">
        <v>0</v>
      </c>
      <c r="J22" s="126">
        <v>0</v>
      </c>
      <c r="K22" s="126">
        <v>1</v>
      </c>
      <c r="L22" s="126">
        <v>0</v>
      </c>
      <c r="M22" s="126">
        <v>0</v>
      </c>
      <c r="N22" s="126">
        <v>0</v>
      </c>
      <c r="O22" s="126">
        <v>0</v>
      </c>
      <c r="P22" s="194"/>
    </row>
    <row r="23" spans="1:16" s="15" customFormat="1" ht="21.75" customHeight="1">
      <c r="A23" s="253">
        <v>4</v>
      </c>
      <c r="B23" s="93" t="s">
        <v>236</v>
      </c>
      <c r="C23" s="126">
        <f t="shared" si="0"/>
        <v>9.600000000000001</v>
      </c>
      <c r="D23" s="126">
        <v>0</v>
      </c>
      <c r="E23" s="126">
        <v>0</v>
      </c>
      <c r="F23" s="126">
        <v>3</v>
      </c>
      <c r="G23" s="126">
        <v>3.6000000000000014</v>
      </c>
      <c r="H23" s="126">
        <v>0</v>
      </c>
      <c r="I23" s="126">
        <v>1</v>
      </c>
      <c r="J23" s="126">
        <v>0</v>
      </c>
      <c r="K23" s="126">
        <v>1</v>
      </c>
      <c r="L23" s="126">
        <v>1</v>
      </c>
      <c r="M23" s="126">
        <v>0</v>
      </c>
      <c r="N23" s="126">
        <v>0</v>
      </c>
      <c r="O23" s="126">
        <v>0</v>
      </c>
      <c r="P23" s="201"/>
    </row>
    <row r="24" spans="1:16" s="15" customFormat="1" ht="21.75" customHeight="1">
      <c r="A24" s="253">
        <v>5</v>
      </c>
      <c r="B24" s="93" t="s">
        <v>166</v>
      </c>
      <c r="C24" s="126">
        <f t="shared" si="0"/>
        <v>5.1</v>
      </c>
      <c r="D24" s="126">
        <v>0</v>
      </c>
      <c r="E24" s="126">
        <v>0</v>
      </c>
      <c r="F24" s="126">
        <v>-0.40000000000000036</v>
      </c>
      <c r="G24" s="126">
        <v>3.5</v>
      </c>
      <c r="H24" s="126">
        <v>0</v>
      </c>
      <c r="I24" s="126">
        <v>1</v>
      </c>
      <c r="J24" s="126">
        <v>0</v>
      </c>
      <c r="K24" s="126">
        <v>1</v>
      </c>
      <c r="L24" s="126">
        <v>0</v>
      </c>
      <c r="M24" s="126">
        <v>0</v>
      </c>
      <c r="N24" s="126">
        <v>0</v>
      </c>
      <c r="O24" s="126">
        <v>0</v>
      </c>
      <c r="P24" s="201"/>
    </row>
    <row r="25" spans="1:16" s="15" customFormat="1" ht="18.75" customHeight="1">
      <c r="A25" s="226" t="s">
        <v>10</v>
      </c>
      <c r="B25" s="226" t="s">
        <v>0</v>
      </c>
      <c r="C25" s="226" t="s">
        <v>222</v>
      </c>
      <c r="D25" s="226" t="s">
        <v>27</v>
      </c>
      <c r="E25" s="226" t="s">
        <v>26</v>
      </c>
      <c r="F25" s="226" t="s">
        <v>28</v>
      </c>
      <c r="G25" s="226" t="s">
        <v>150</v>
      </c>
      <c r="H25" s="226" t="s">
        <v>38</v>
      </c>
      <c r="I25" s="226"/>
      <c r="J25" s="226"/>
      <c r="K25" s="226"/>
      <c r="L25" s="226"/>
      <c r="M25" s="226"/>
      <c r="N25" s="226"/>
      <c r="O25" s="226"/>
      <c r="P25" s="226" t="s">
        <v>256</v>
      </c>
    </row>
    <row r="26" spans="1:16" s="15" customFormat="1" ht="69.75" customHeight="1">
      <c r="A26" s="226"/>
      <c r="B26" s="226"/>
      <c r="C26" s="226"/>
      <c r="D26" s="226" t="s">
        <v>25</v>
      </c>
      <c r="E26" s="226"/>
      <c r="F26" s="226"/>
      <c r="G26" s="226"/>
      <c r="H26" s="16" t="s">
        <v>30</v>
      </c>
      <c r="I26" s="16" t="s">
        <v>31</v>
      </c>
      <c r="J26" s="16" t="s">
        <v>32</v>
      </c>
      <c r="K26" s="16" t="s">
        <v>33</v>
      </c>
      <c r="L26" s="16" t="s">
        <v>34</v>
      </c>
      <c r="M26" s="16" t="s">
        <v>35</v>
      </c>
      <c r="N26" s="16" t="s">
        <v>36</v>
      </c>
      <c r="O26" s="16" t="s">
        <v>37</v>
      </c>
      <c r="P26" s="226"/>
    </row>
    <row r="27" spans="1:16" s="15" customFormat="1" ht="21.75" customHeight="1">
      <c r="A27" s="253">
        <v>6</v>
      </c>
      <c r="B27" s="93" t="s">
        <v>167</v>
      </c>
      <c r="C27" s="126">
        <f t="shared" si="0"/>
        <v>5</v>
      </c>
      <c r="D27" s="126">
        <v>0</v>
      </c>
      <c r="E27" s="126">
        <v>0</v>
      </c>
      <c r="F27" s="126">
        <v>4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1</v>
      </c>
      <c r="M27" s="126">
        <v>0</v>
      </c>
      <c r="N27" s="126">
        <v>0</v>
      </c>
      <c r="O27" s="126">
        <v>0</v>
      </c>
      <c r="P27" s="194"/>
    </row>
    <row r="28" spans="1:16" s="15" customFormat="1" ht="21.75" customHeight="1">
      <c r="A28" s="253">
        <v>7</v>
      </c>
      <c r="B28" s="93" t="s">
        <v>168</v>
      </c>
      <c r="C28" s="126">
        <f t="shared" si="0"/>
        <v>1.2999999999999972</v>
      </c>
      <c r="D28" s="126">
        <v>1</v>
      </c>
      <c r="E28" s="126">
        <v>0</v>
      </c>
      <c r="F28" s="126">
        <v>0</v>
      </c>
      <c r="G28" s="126">
        <v>-0.7000000000000028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1</v>
      </c>
      <c r="N28" s="126">
        <v>0</v>
      </c>
      <c r="O28" s="126">
        <v>0</v>
      </c>
      <c r="P28" s="194"/>
    </row>
    <row r="29" spans="1:16" s="15" customFormat="1" ht="21.75" customHeight="1">
      <c r="A29" s="253">
        <v>8</v>
      </c>
      <c r="B29" s="93" t="s">
        <v>169</v>
      </c>
      <c r="C29" s="126">
        <f t="shared" si="0"/>
        <v>3</v>
      </c>
      <c r="D29" s="126">
        <v>1</v>
      </c>
      <c r="E29" s="126">
        <v>0</v>
      </c>
      <c r="F29" s="126">
        <v>0</v>
      </c>
      <c r="G29" s="126">
        <v>0</v>
      </c>
      <c r="H29" s="126">
        <v>0</v>
      </c>
      <c r="I29" s="126">
        <v>1</v>
      </c>
      <c r="J29" s="126">
        <v>0</v>
      </c>
      <c r="K29" s="126">
        <v>0</v>
      </c>
      <c r="L29" s="126">
        <v>0</v>
      </c>
      <c r="M29" s="126">
        <v>1</v>
      </c>
      <c r="N29" s="126">
        <v>0</v>
      </c>
      <c r="O29" s="126">
        <v>0</v>
      </c>
      <c r="P29" s="194"/>
    </row>
    <row r="30" spans="1:16" s="15" customFormat="1" ht="21.75" customHeight="1">
      <c r="A30" s="253">
        <v>9</v>
      </c>
      <c r="B30" s="93" t="s">
        <v>170</v>
      </c>
      <c r="C30" s="126">
        <f t="shared" si="0"/>
        <v>-0.20000000000000107</v>
      </c>
      <c r="D30" s="126">
        <v>0</v>
      </c>
      <c r="E30" s="126">
        <v>0</v>
      </c>
      <c r="F30" s="126">
        <v>-2.8000000000000007</v>
      </c>
      <c r="G30" s="126">
        <v>-0.40000000000000036</v>
      </c>
      <c r="H30" s="126">
        <v>0</v>
      </c>
      <c r="I30" s="126">
        <v>0</v>
      </c>
      <c r="J30" s="126">
        <v>0</v>
      </c>
      <c r="K30" s="126">
        <v>1</v>
      </c>
      <c r="L30" s="126">
        <v>1</v>
      </c>
      <c r="M30" s="126">
        <v>1</v>
      </c>
      <c r="N30" s="126">
        <v>0</v>
      </c>
      <c r="O30" s="126">
        <v>0</v>
      </c>
      <c r="P30" s="194"/>
    </row>
    <row r="31" spans="1:16" s="15" customFormat="1" ht="21.75" customHeight="1">
      <c r="A31" s="42" t="s">
        <v>208</v>
      </c>
      <c r="B31" s="10" t="s">
        <v>180</v>
      </c>
      <c r="C31" s="126">
        <f t="shared" si="0"/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30"/>
    </row>
    <row r="32" spans="1:16" s="15" customFormat="1" ht="21.75" customHeight="1">
      <c r="A32" s="253">
        <v>1</v>
      </c>
      <c r="B32" s="93" t="s">
        <v>173</v>
      </c>
      <c r="C32" s="126">
        <f t="shared" si="0"/>
        <v>1.6000000000000014</v>
      </c>
      <c r="D32" s="126">
        <v>0</v>
      </c>
      <c r="E32" s="126">
        <v>0</v>
      </c>
      <c r="F32" s="126">
        <v>0</v>
      </c>
      <c r="G32" s="126">
        <v>-0.3999999999999986</v>
      </c>
      <c r="H32" s="126">
        <v>0</v>
      </c>
      <c r="I32" s="126">
        <v>0</v>
      </c>
      <c r="J32" s="126">
        <v>0</v>
      </c>
      <c r="K32" s="126">
        <v>0</v>
      </c>
      <c r="L32" s="126">
        <v>1</v>
      </c>
      <c r="M32" s="126">
        <v>0</v>
      </c>
      <c r="N32" s="126">
        <v>0</v>
      </c>
      <c r="O32" s="126">
        <v>1</v>
      </c>
      <c r="P32" s="127"/>
    </row>
    <row r="33" spans="1:16" s="15" customFormat="1" ht="21.75" customHeight="1">
      <c r="A33" s="253">
        <v>2</v>
      </c>
      <c r="B33" s="102" t="s">
        <v>217</v>
      </c>
      <c r="C33" s="126">
        <f t="shared" si="0"/>
        <v>3.400000000000002</v>
      </c>
      <c r="D33" s="126">
        <v>0</v>
      </c>
      <c r="E33" s="126">
        <v>0</v>
      </c>
      <c r="F33" s="126">
        <v>0</v>
      </c>
      <c r="G33" s="126">
        <v>3.400000000000002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203"/>
    </row>
    <row r="34" spans="1:16" s="15" customFormat="1" ht="21.75" customHeight="1">
      <c r="A34" s="253">
        <v>3</v>
      </c>
      <c r="B34" s="102" t="s">
        <v>218</v>
      </c>
      <c r="C34" s="126">
        <f t="shared" si="0"/>
        <v>9.200000000000001</v>
      </c>
      <c r="D34" s="126">
        <v>0</v>
      </c>
      <c r="E34" s="126">
        <v>0</v>
      </c>
      <c r="F34" s="126">
        <v>6</v>
      </c>
      <c r="G34" s="126">
        <v>2.200000000000001</v>
      </c>
      <c r="H34" s="126">
        <v>1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73"/>
    </row>
    <row r="35" spans="1:16" s="15" customFormat="1" ht="21.75" customHeight="1">
      <c r="A35" s="253">
        <v>4</v>
      </c>
      <c r="B35" s="102" t="s">
        <v>219</v>
      </c>
      <c r="C35" s="126">
        <f t="shared" si="0"/>
        <v>5.300000000000001</v>
      </c>
      <c r="D35" s="126">
        <v>0</v>
      </c>
      <c r="E35" s="126">
        <v>0</v>
      </c>
      <c r="F35" s="126">
        <v>4.5</v>
      </c>
      <c r="G35" s="126">
        <v>-1.1999999999999993</v>
      </c>
      <c r="H35" s="126">
        <v>0</v>
      </c>
      <c r="I35" s="126">
        <v>1</v>
      </c>
      <c r="J35" s="126">
        <v>0</v>
      </c>
      <c r="K35" s="126">
        <v>0</v>
      </c>
      <c r="L35" s="126">
        <v>0</v>
      </c>
      <c r="M35" s="126">
        <v>1</v>
      </c>
      <c r="N35" s="126">
        <v>0</v>
      </c>
      <c r="O35" s="126">
        <v>0</v>
      </c>
      <c r="P35" s="205"/>
    </row>
    <row r="36" spans="1:16" s="15" customFormat="1" ht="21.75" customHeight="1">
      <c r="A36" s="253">
        <v>5</v>
      </c>
      <c r="B36" s="102" t="s">
        <v>220</v>
      </c>
      <c r="C36" s="126">
        <f t="shared" si="0"/>
        <v>5.100000000000001</v>
      </c>
      <c r="D36" s="126">
        <v>0</v>
      </c>
      <c r="E36" s="126">
        <v>0</v>
      </c>
      <c r="F36" s="126">
        <v>4.5</v>
      </c>
      <c r="G36" s="126">
        <v>0.6000000000000014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205"/>
    </row>
    <row r="37" spans="1:16" s="15" customFormat="1" ht="21.75" customHeight="1">
      <c r="A37" s="253">
        <v>6</v>
      </c>
      <c r="B37" s="102" t="s">
        <v>237</v>
      </c>
      <c r="C37" s="126">
        <f t="shared" si="0"/>
        <v>5.400000000000002</v>
      </c>
      <c r="D37" s="126">
        <v>0</v>
      </c>
      <c r="E37" s="126">
        <v>0</v>
      </c>
      <c r="F37" s="126">
        <v>0</v>
      </c>
      <c r="G37" s="126">
        <v>3.400000000000002</v>
      </c>
      <c r="H37" s="126">
        <v>0</v>
      </c>
      <c r="I37" s="126">
        <v>1</v>
      </c>
      <c r="J37" s="126">
        <v>0</v>
      </c>
      <c r="K37" s="126">
        <v>0</v>
      </c>
      <c r="L37" s="126">
        <v>0</v>
      </c>
      <c r="M37" s="126">
        <v>1</v>
      </c>
      <c r="N37" s="126">
        <v>0</v>
      </c>
      <c r="O37" s="126">
        <v>0</v>
      </c>
      <c r="P37" s="173"/>
    </row>
    <row r="38" spans="1:16" s="15" customFormat="1" ht="21.75" customHeight="1">
      <c r="A38" s="253">
        <v>7</v>
      </c>
      <c r="B38" s="102" t="s">
        <v>238</v>
      </c>
      <c r="C38" s="126">
        <f t="shared" si="0"/>
        <v>10.3</v>
      </c>
      <c r="D38" s="126">
        <v>0</v>
      </c>
      <c r="E38" s="126">
        <v>0</v>
      </c>
      <c r="F38" s="126">
        <v>2.5</v>
      </c>
      <c r="G38" s="126">
        <v>4.800000000000001</v>
      </c>
      <c r="H38" s="126">
        <v>1</v>
      </c>
      <c r="I38" s="126">
        <v>1</v>
      </c>
      <c r="J38" s="126">
        <v>0</v>
      </c>
      <c r="K38" s="126">
        <v>0</v>
      </c>
      <c r="L38" s="126">
        <v>0</v>
      </c>
      <c r="M38" s="126">
        <v>1</v>
      </c>
      <c r="N38" s="126">
        <v>0</v>
      </c>
      <c r="O38" s="126">
        <v>0</v>
      </c>
      <c r="P38" s="173"/>
    </row>
    <row r="39" spans="1:16" s="15" customFormat="1" ht="21.75" customHeight="1">
      <c r="A39" s="253">
        <v>8</v>
      </c>
      <c r="B39" s="102" t="s">
        <v>239</v>
      </c>
      <c r="C39" s="126">
        <f t="shared" si="0"/>
        <v>3.6000000000000014</v>
      </c>
      <c r="D39" s="126">
        <v>0</v>
      </c>
      <c r="E39" s="126">
        <v>0</v>
      </c>
      <c r="F39" s="126">
        <v>0</v>
      </c>
      <c r="G39" s="126">
        <v>2.6000000000000014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1</v>
      </c>
      <c r="N39" s="126">
        <v>0</v>
      </c>
      <c r="O39" s="126">
        <v>0</v>
      </c>
      <c r="P39" s="173"/>
    </row>
    <row r="40" spans="1:16" s="15" customFormat="1" ht="21.75" customHeight="1">
      <c r="A40" s="253">
        <v>9</v>
      </c>
      <c r="B40" s="102" t="s">
        <v>240</v>
      </c>
      <c r="C40" s="126">
        <f t="shared" si="0"/>
        <v>5.200000000000003</v>
      </c>
      <c r="D40" s="126">
        <v>0</v>
      </c>
      <c r="E40" s="126">
        <v>0</v>
      </c>
      <c r="F40" s="126">
        <v>0</v>
      </c>
      <c r="G40" s="126">
        <v>4.200000000000003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1</v>
      </c>
      <c r="N40" s="126">
        <v>0</v>
      </c>
      <c r="O40" s="126">
        <v>0</v>
      </c>
      <c r="P40" s="173"/>
    </row>
    <row r="41" spans="1:16" s="15" customFormat="1" ht="21.75" customHeight="1">
      <c r="A41" s="11"/>
      <c r="B41" s="124" t="s">
        <v>112</v>
      </c>
      <c r="C41" s="129">
        <f>SUM(C9:C40)</f>
        <v>111.70000000000003</v>
      </c>
      <c r="D41" s="129">
        <f aca="true" t="shared" si="1" ref="D41:O41">SUM(D9:D40)</f>
        <v>8</v>
      </c>
      <c r="E41" s="129">
        <f t="shared" si="1"/>
        <v>4</v>
      </c>
      <c r="F41" s="129">
        <f t="shared" si="1"/>
        <v>13.299999999999999</v>
      </c>
      <c r="G41" s="129">
        <f t="shared" si="1"/>
        <v>34.40000000000002</v>
      </c>
      <c r="H41" s="129">
        <f t="shared" si="1"/>
        <v>5</v>
      </c>
      <c r="I41" s="129">
        <f t="shared" si="1"/>
        <v>12</v>
      </c>
      <c r="J41" s="129">
        <f t="shared" si="1"/>
        <v>1</v>
      </c>
      <c r="K41" s="129">
        <f t="shared" si="1"/>
        <v>5</v>
      </c>
      <c r="L41" s="129">
        <f t="shared" si="1"/>
        <v>11</v>
      </c>
      <c r="M41" s="129">
        <f t="shared" si="1"/>
        <v>13</v>
      </c>
      <c r="N41" s="129">
        <f t="shared" si="1"/>
        <v>0</v>
      </c>
      <c r="O41" s="129">
        <f t="shared" si="1"/>
        <v>5</v>
      </c>
      <c r="P41" s="129"/>
    </row>
    <row r="53" spans="1:16" s="15" customFormat="1" ht="23.25" customHeight="1">
      <c r="A53" s="14" t="s">
        <v>121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 t="s">
        <v>118</v>
      </c>
      <c r="O53" s="17"/>
      <c r="P53" s="17"/>
    </row>
    <row r="54" spans="1:16" s="15" customFormat="1" ht="18.75" customHeight="1">
      <c r="A54" s="226" t="s">
        <v>10</v>
      </c>
      <c r="B54" s="226" t="s">
        <v>0</v>
      </c>
      <c r="C54" s="226" t="s">
        <v>119</v>
      </c>
      <c r="D54" s="226" t="s">
        <v>27</v>
      </c>
      <c r="E54" s="226" t="s">
        <v>26</v>
      </c>
      <c r="F54" s="226" t="s">
        <v>123</v>
      </c>
      <c r="G54" s="226" t="s">
        <v>124</v>
      </c>
      <c r="H54" s="226" t="s">
        <v>122</v>
      </c>
      <c r="I54" s="226"/>
      <c r="J54" s="226"/>
      <c r="K54" s="226"/>
      <c r="L54" s="226"/>
      <c r="M54" s="226"/>
      <c r="N54" s="226"/>
      <c r="O54" s="226"/>
      <c r="P54" s="226" t="s">
        <v>120</v>
      </c>
    </row>
    <row r="55" spans="1:16" s="15" customFormat="1" ht="69.75" customHeight="1">
      <c r="A55" s="226"/>
      <c r="B55" s="226"/>
      <c r="C55" s="226"/>
      <c r="D55" s="226" t="s">
        <v>25</v>
      </c>
      <c r="E55" s="226"/>
      <c r="F55" s="226"/>
      <c r="G55" s="226"/>
      <c r="H55" s="16" t="s">
        <v>30</v>
      </c>
      <c r="I55" s="16" t="s">
        <v>31</v>
      </c>
      <c r="J55" s="16" t="s">
        <v>32</v>
      </c>
      <c r="K55" s="16" t="s">
        <v>33</v>
      </c>
      <c r="L55" s="16" t="s">
        <v>34</v>
      </c>
      <c r="M55" s="16" t="s">
        <v>35</v>
      </c>
      <c r="N55" s="16" t="s">
        <v>36</v>
      </c>
      <c r="O55" s="16" t="s">
        <v>37</v>
      </c>
      <c r="P55" s="226"/>
    </row>
    <row r="56" spans="1:16" s="15" customFormat="1" ht="18.75" customHeight="1">
      <c r="A56" s="13">
        <v>1</v>
      </c>
      <c r="B56" s="13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  <c r="H56" s="13">
        <v>8</v>
      </c>
      <c r="I56" s="13">
        <v>9</v>
      </c>
      <c r="J56" s="13">
        <v>10</v>
      </c>
      <c r="K56" s="13">
        <v>11</v>
      </c>
      <c r="L56" s="13">
        <v>12</v>
      </c>
      <c r="M56" s="13">
        <v>13</v>
      </c>
      <c r="N56" s="13">
        <v>14</v>
      </c>
      <c r="O56" s="13">
        <v>15</v>
      </c>
      <c r="P56" s="13">
        <v>16</v>
      </c>
    </row>
    <row r="57" spans="1:16" s="15" customFormat="1" ht="25.5" customHeight="1">
      <c r="A57" s="42" t="s">
        <v>40</v>
      </c>
      <c r="B57" s="5" t="s">
        <v>149</v>
      </c>
      <c r="C57" s="109">
        <f>SUM(D57:O57)</f>
        <v>252152.78399999987</v>
      </c>
      <c r="D57" s="109">
        <f>2.34*1300*12*198.5%*D9+0.3*1300*12*D9</f>
        <v>77140.44</v>
      </c>
      <c r="E57" s="109">
        <f aca="true" t="shared" si="2" ref="E57:O57">2.34*1300*12*198.5%*E9+0.3*1300*12*E9</f>
        <v>0</v>
      </c>
      <c r="F57" s="109">
        <f t="shared" si="2"/>
        <v>0</v>
      </c>
      <c r="G57" s="109">
        <f t="shared" si="2"/>
        <v>123424.70399999984</v>
      </c>
      <c r="H57" s="109">
        <f t="shared" si="2"/>
        <v>0</v>
      </c>
      <c r="I57" s="109">
        <f>2.34*1300*12*128.5%*I9+0.3*1300*12*I9</f>
        <v>51587.64</v>
      </c>
      <c r="J57" s="109">
        <f t="shared" si="2"/>
        <v>0</v>
      </c>
      <c r="K57" s="109">
        <f t="shared" si="2"/>
        <v>0</v>
      </c>
      <c r="L57" s="109">
        <f t="shared" si="2"/>
        <v>0</v>
      </c>
      <c r="M57" s="109">
        <f t="shared" si="2"/>
        <v>0</v>
      </c>
      <c r="N57" s="109">
        <f t="shared" si="2"/>
        <v>0</v>
      </c>
      <c r="O57" s="109">
        <f t="shared" si="2"/>
        <v>0</v>
      </c>
      <c r="P57" s="110"/>
    </row>
    <row r="58" spans="1:16" s="15" customFormat="1" ht="25.5" customHeight="1">
      <c r="A58" s="42" t="s">
        <v>193</v>
      </c>
      <c r="B58" s="10" t="s">
        <v>131</v>
      </c>
      <c r="C58" s="111"/>
      <c r="D58" s="110"/>
      <c r="E58" s="110"/>
      <c r="F58" s="110"/>
      <c r="G58" s="110"/>
      <c r="H58" s="110"/>
      <c r="I58" s="110"/>
      <c r="J58" s="112"/>
      <c r="K58" s="112"/>
      <c r="L58" s="112"/>
      <c r="M58" s="112"/>
      <c r="N58" s="112"/>
      <c r="O58" s="112"/>
      <c r="P58" s="113"/>
    </row>
    <row r="59" spans="1:16" s="15" customFormat="1" ht="25.5" customHeight="1">
      <c r="A59" s="43">
        <v>1</v>
      </c>
      <c r="B59" s="68" t="s">
        <v>138</v>
      </c>
      <c r="C59" s="109">
        <f>SUM(D59:O59)</f>
        <v>201047.18400000012</v>
      </c>
      <c r="D59" s="109">
        <f>2.34*1300*12*198.5%*D11+0.3*1300*12*D11</f>
        <v>0</v>
      </c>
      <c r="E59" s="109">
        <f>2.34*1300*12*198.5%*E11+0.3*1300*12*E11</f>
        <v>0</v>
      </c>
      <c r="F59" s="109">
        <f>2.34*1300*12*198.5%*F11+0.3*1300*12*F11</f>
        <v>0</v>
      </c>
      <c r="G59" s="109">
        <f>2.34*1300*12*198.5%*G11+0.3*1300*12*G11</f>
        <v>46284.26400000011</v>
      </c>
      <c r="H59" s="109">
        <f aca="true" t="shared" si="3" ref="H59:O59">2.34*1300*12*128.5%*H11+0.3*1300*12*H11</f>
        <v>0</v>
      </c>
      <c r="I59" s="109">
        <f t="shared" si="3"/>
        <v>51587.64</v>
      </c>
      <c r="J59" s="109">
        <f t="shared" si="3"/>
        <v>51587.64</v>
      </c>
      <c r="K59" s="109">
        <f t="shared" si="3"/>
        <v>0</v>
      </c>
      <c r="L59" s="109">
        <f t="shared" si="3"/>
        <v>0</v>
      </c>
      <c r="M59" s="109">
        <f t="shared" si="3"/>
        <v>0</v>
      </c>
      <c r="N59" s="109">
        <f t="shared" si="3"/>
        <v>0</v>
      </c>
      <c r="O59" s="109">
        <f t="shared" si="3"/>
        <v>51587.64</v>
      </c>
      <c r="P59" s="110"/>
    </row>
    <row r="60" spans="1:16" s="15" customFormat="1" ht="25.5" customHeight="1">
      <c r="A60" s="43">
        <v>2</v>
      </c>
      <c r="B60" s="5" t="s">
        <v>245</v>
      </c>
      <c r="C60" s="109">
        <f>SUM(D60:O60)</f>
        <v>244920.78000000003</v>
      </c>
      <c r="D60" s="109">
        <f>2.34*1300*12*198.5%*D12+0.3*1300*12*D12</f>
        <v>0</v>
      </c>
      <c r="E60" s="109">
        <f>2.34*1300*12*198.5%*E12+0.3*1300*12*E12</f>
        <v>77140.44</v>
      </c>
      <c r="F60" s="109">
        <f>2.34*1300*12*198.5%*F12+0.3*1300*12*F12</f>
        <v>-38570.22</v>
      </c>
      <c r="G60" s="109">
        <f>2.34*1300*12*198.5%*G12+0.3*1300*12*G12</f>
        <v>0</v>
      </c>
      <c r="H60" s="109">
        <f aca="true" t="shared" si="4" ref="H60:O60">2.34*1300*12*128.5%*H12+0.3*1300*12*H12</f>
        <v>51587.64</v>
      </c>
      <c r="I60" s="109">
        <f t="shared" si="4"/>
        <v>51587.64</v>
      </c>
      <c r="J60" s="109">
        <f t="shared" si="4"/>
        <v>0</v>
      </c>
      <c r="K60" s="109">
        <f t="shared" si="4"/>
        <v>0</v>
      </c>
      <c r="L60" s="109">
        <f t="shared" si="4"/>
        <v>51587.64</v>
      </c>
      <c r="M60" s="109">
        <f t="shared" si="4"/>
        <v>51587.64</v>
      </c>
      <c r="N60" s="109">
        <f t="shared" si="4"/>
        <v>0</v>
      </c>
      <c r="O60" s="109">
        <f t="shared" si="4"/>
        <v>0</v>
      </c>
      <c r="P60" s="110"/>
    </row>
    <row r="61" spans="1:16" s="15" customFormat="1" ht="25.5" customHeight="1">
      <c r="A61" s="43">
        <v>3</v>
      </c>
      <c r="B61" s="5" t="s">
        <v>246</v>
      </c>
      <c r="C61" s="109">
        <f>SUM(D61:O61)</f>
        <v>322061.22000000003</v>
      </c>
      <c r="D61" s="109">
        <f>2.34*1300*12*198.5%*D13+0.3*1300*12*D13</f>
        <v>77140.44</v>
      </c>
      <c r="E61" s="109">
        <f>2.34*1300*12*198.5%*E13+0.3*1300*12*E13</f>
        <v>77140.44</v>
      </c>
      <c r="F61" s="109">
        <f>2.34*1300*12*198.5%*F13+0.3*1300*12*F13</f>
        <v>-38570.22</v>
      </c>
      <c r="G61" s="109">
        <f>2.34*1300*12*198.5%*G13+0.3*1300*12*G13</f>
        <v>0</v>
      </c>
      <c r="H61" s="109">
        <f aca="true" t="shared" si="5" ref="H61:O61">2.34*1300*12*128.5%*H13+0.3*1300*12*H13</f>
        <v>51587.64</v>
      </c>
      <c r="I61" s="109">
        <f t="shared" si="5"/>
        <v>51587.64</v>
      </c>
      <c r="J61" s="109">
        <f t="shared" si="5"/>
        <v>0</v>
      </c>
      <c r="K61" s="109">
        <f t="shared" si="5"/>
        <v>0</v>
      </c>
      <c r="L61" s="109">
        <f t="shared" si="5"/>
        <v>51587.64</v>
      </c>
      <c r="M61" s="109">
        <f t="shared" si="5"/>
        <v>51587.64</v>
      </c>
      <c r="N61" s="109">
        <f t="shared" si="5"/>
        <v>0</v>
      </c>
      <c r="O61" s="109">
        <f t="shared" si="5"/>
        <v>0</v>
      </c>
      <c r="P61" s="110"/>
    </row>
    <row r="62" spans="1:16" s="15" customFormat="1" ht="25.5" customHeight="1">
      <c r="A62" s="43">
        <v>4</v>
      </c>
      <c r="B62" s="5" t="s">
        <v>247</v>
      </c>
      <c r="C62" s="109">
        <f>SUM(D62:O62)</f>
        <v>77622.48</v>
      </c>
      <c r="D62" s="109">
        <f>2.34*1300*12*198.5%*D14+0.3*1300*12*D14</f>
        <v>77140.44</v>
      </c>
      <c r="E62" s="109">
        <f>2.34*1300*12*198.5%*E14+0.3*1300*12*E14</f>
        <v>77140.44</v>
      </c>
      <c r="F62" s="109">
        <f>2.34*1300*12*198.5%*F14+0.3*1300*12*F14</f>
        <v>-231421.32</v>
      </c>
      <c r="G62" s="109">
        <f>2.34*1300*12*198.5%*G14+0.3*1300*12*G14</f>
        <v>0</v>
      </c>
      <c r="H62" s="109">
        <f aca="true" t="shared" si="6" ref="H62:O62">2.34*1300*12*128.5%*H14+0.3*1300*12*H14</f>
        <v>51587.64</v>
      </c>
      <c r="I62" s="109">
        <f t="shared" si="6"/>
        <v>0</v>
      </c>
      <c r="J62" s="109">
        <f t="shared" si="6"/>
        <v>0</v>
      </c>
      <c r="K62" s="109">
        <f t="shared" si="6"/>
        <v>0</v>
      </c>
      <c r="L62" s="109">
        <f t="shared" si="6"/>
        <v>51587.64</v>
      </c>
      <c r="M62" s="109">
        <f t="shared" si="6"/>
        <v>51587.64</v>
      </c>
      <c r="N62" s="109">
        <f t="shared" si="6"/>
        <v>0</v>
      </c>
      <c r="O62" s="109">
        <f t="shared" si="6"/>
        <v>0</v>
      </c>
      <c r="P62" s="110"/>
    </row>
    <row r="63" spans="1:16" s="15" customFormat="1" ht="25.5" customHeight="1">
      <c r="A63" s="42" t="s">
        <v>194</v>
      </c>
      <c r="B63" s="10" t="s">
        <v>148</v>
      </c>
      <c r="C63" s="111"/>
      <c r="D63" s="110"/>
      <c r="E63" s="110"/>
      <c r="F63" s="110"/>
      <c r="G63" s="110"/>
      <c r="H63" s="109">
        <f aca="true" t="shared" si="7" ref="H63:O63">2.34*1300*12*128.5%*H15+0.3*1300*12*H15</f>
        <v>0</v>
      </c>
      <c r="I63" s="109">
        <f t="shared" si="7"/>
        <v>0</v>
      </c>
      <c r="J63" s="109">
        <f t="shared" si="7"/>
        <v>0</v>
      </c>
      <c r="K63" s="109">
        <f t="shared" si="7"/>
        <v>0</v>
      </c>
      <c r="L63" s="109">
        <f t="shared" si="7"/>
        <v>0</v>
      </c>
      <c r="M63" s="109">
        <f t="shared" si="7"/>
        <v>0</v>
      </c>
      <c r="N63" s="109">
        <f t="shared" si="7"/>
        <v>0</v>
      </c>
      <c r="O63" s="109">
        <f t="shared" si="7"/>
        <v>0</v>
      </c>
      <c r="P63" s="113"/>
    </row>
    <row r="64" spans="1:16" s="15" customFormat="1" ht="25.5" customHeight="1">
      <c r="A64" s="43">
        <v>1</v>
      </c>
      <c r="B64" s="69" t="s">
        <v>142</v>
      </c>
      <c r="C64" s="109">
        <f>SUM(D64:O64)</f>
        <v>41462.92800000008</v>
      </c>
      <c r="D64" s="109">
        <f>2.34*1300*12*198.5%*D16+0.3*1300*12*D16</f>
        <v>0</v>
      </c>
      <c r="E64" s="109">
        <f>2.34*1300*12*198.5%*E16+0.3*1300*12*E16</f>
        <v>0</v>
      </c>
      <c r="F64" s="109">
        <f>2.34*1300*12*198.5%*F16+0.3*1300*12*F16</f>
        <v>0</v>
      </c>
      <c r="G64" s="109">
        <f>2.34*1300*12*198.5%*G16+0.3*1300*12*G16</f>
        <v>-61712.35199999992</v>
      </c>
      <c r="H64" s="109">
        <f aca="true" t="shared" si="8" ref="H64:O64">2.34*1300*12*128.5%*H16+0.3*1300*12*H16</f>
        <v>0</v>
      </c>
      <c r="I64" s="109">
        <f t="shared" si="8"/>
        <v>0</v>
      </c>
      <c r="J64" s="109">
        <f t="shared" si="8"/>
        <v>0</v>
      </c>
      <c r="K64" s="109">
        <f t="shared" si="8"/>
        <v>0</v>
      </c>
      <c r="L64" s="109">
        <f t="shared" si="8"/>
        <v>51587.64</v>
      </c>
      <c r="M64" s="109">
        <f t="shared" si="8"/>
        <v>0</v>
      </c>
      <c r="N64" s="109">
        <f t="shared" si="8"/>
        <v>0</v>
      </c>
      <c r="O64" s="109">
        <f t="shared" si="8"/>
        <v>51587.64</v>
      </c>
      <c r="P64" s="110"/>
    </row>
    <row r="65" spans="1:16" ht="25.5" customHeight="1">
      <c r="A65" s="43">
        <v>2</v>
      </c>
      <c r="B65" s="5" t="s">
        <v>248</v>
      </c>
      <c r="C65" s="109">
        <f>SUM(D65:O65)</f>
        <v>154762.91999999998</v>
      </c>
      <c r="D65" s="109">
        <f>2.34*1300*12*198.5%*D17+0.3*1300*12*D17</f>
        <v>77140.44</v>
      </c>
      <c r="E65" s="109">
        <f>2.34*1300*12*198.5%*E17+0.3*1300*12*E17</f>
        <v>77140.44</v>
      </c>
      <c r="F65" s="109">
        <f>2.34*1300*12*198.5%*F17+0.3*1300*12*F17</f>
        <v>-154280.88</v>
      </c>
      <c r="G65" s="109">
        <f>2.34*1300*12*198.5%*G17+0.3*1300*12*G17</f>
        <v>0</v>
      </c>
      <c r="H65" s="109">
        <f aca="true" t="shared" si="9" ref="H65:O65">2.34*1300*12*128.5%*H17+0.3*1300*12*H17</f>
        <v>0</v>
      </c>
      <c r="I65" s="109">
        <f t="shared" si="9"/>
        <v>51587.64</v>
      </c>
      <c r="J65" s="109">
        <f t="shared" si="9"/>
        <v>0</v>
      </c>
      <c r="K65" s="109">
        <f t="shared" si="9"/>
        <v>0</v>
      </c>
      <c r="L65" s="109">
        <f t="shared" si="9"/>
        <v>51587.64</v>
      </c>
      <c r="M65" s="109">
        <f t="shared" si="9"/>
        <v>51587.64</v>
      </c>
      <c r="N65" s="109">
        <f t="shared" si="9"/>
        <v>0</v>
      </c>
      <c r="O65" s="109">
        <f t="shared" si="9"/>
        <v>0</v>
      </c>
      <c r="P65" s="110"/>
    </row>
    <row r="66" spans="1:16" s="33" customFormat="1" ht="25.5" customHeight="1">
      <c r="A66" s="43">
        <v>3</v>
      </c>
      <c r="B66" s="68" t="s">
        <v>249</v>
      </c>
      <c r="C66" s="109">
        <f>SUM(D66:O66)</f>
        <v>0</v>
      </c>
      <c r="D66" s="109">
        <f>2.34*1300*12*198.5%*D18+0.3*1300*12*D18</f>
        <v>0</v>
      </c>
      <c r="E66" s="109">
        <f>2.34*1300*12*198.5%*E18+0.3*1300*12*E18</f>
        <v>0</v>
      </c>
      <c r="F66" s="109">
        <f>2.34*1300*12*128.5%*F18+0.3*1300*12*F18</f>
        <v>-103175.28</v>
      </c>
      <c r="G66" s="109">
        <v>0</v>
      </c>
      <c r="H66" s="109">
        <f aca="true" t="shared" si="10" ref="H66:O66">2.34*1300*12*128.5%*H18+0.3*1300*12*H18</f>
        <v>0</v>
      </c>
      <c r="I66" s="109">
        <f t="shared" si="10"/>
        <v>51587.64</v>
      </c>
      <c r="J66" s="109">
        <f t="shared" si="10"/>
        <v>0</v>
      </c>
      <c r="K66" s="109">
        <f t="shared" si="10"/>
        <v>0</v>
      </c>
      <c r="L66" s="109">
        <f t="shared" si="10"/>
        <v>0</v>
      </c>
      <c r="M66" s="109">
        <f t="shared" si="10"/>
        <v>51587.64</v>
      </c>
      <c r="N66" s="109">
        <f t="shared" si="10"/>
        <v>0</v>
      </c>
      <c r="O66" s="109">
        <f t="shared" si="10"/>
        <v>0</v>
      </c>
      <c r="P66" s="110"/>
    </row>
    <row r="67" spans="1:16" s="15" customFormat="1" ht="25.5" customHeight="1">
      <c r="A67" s="42" t="s">
        <v>195</v>
      </c>
      <c r="B67" s="104" t="s">
        <v>152</v>
      </c>
      <c r="C67" s="109"/>
      <c r="D67" s="109"/>
      <c r="E67" s="109"/>
      <c r="F67" s="109"/>
      <c r="G67" s="109"/>
      <c r="H67" s="109">
        <f aca="true" t="shared" si="11" ref="H67:O67">2.34*1300*12*128.5%*H19+0.3*1300*12*H19</f>
        <v>0</v>
      </c>
      <c r="I67" s="109">
        <f t="shared" si="11"/>
        <v>0</v>
      </c>
      <c r="J67" s="109">
        <f t="shared" si="11"/>
        <v>0</v>
      </c>
      <c r="K67" s="109">
        <f t="shared" si="11"/>
        <v>0</v>
      </c>
      <c r="L67" s="109">
        <f t="shared" si="11"/>
        <v>0</v>
      </c>
      <c r="M67" s="109">
        <f t="shared" si="11"/>
        <v>0</v>
      </c>
      <c r="N67" s="109">
        <f t="shared" si="11"/>
        <v>0</v>
      </c>
      <c r="O67" s="109">
        <f t="shared" si="11"/>
        <v>0</v>
      </c>
      <c r="P67" s="109"/>
    </row>
    <row r="68" spans="1:16" s="15" customFormat="1" ht="25.5" customHeight="1">
      <c r="A68" s="43">
        <v>1</v>
      </c>
      <c r="B68" s="5" t="s">
        <v>153</v>
      </c>
      <c r="C68" s="109">
        <f>SUM(D68:O68)</f>
        <v>123906.74400000011</v>
      </c>
      <c r="D68" s="109">
        <f>2.34*1300*12*198.5%*D20+0.3*1300*12*D20</f>
        <v>0</v>
      </c>
      <c r="E68" s="109">
        <f>2.34*1300*12*198.5%*E20+0.3*1300*12*E20</f>
        <v>0</v>
      </c>
      <c r="F68" s="109">
        <f>2.34*1300*12*198.5%*F20+0.3*1300*12*F20</f>
        <v>0</v>
      </c>
      <c r="G68" s="109">
        <f>2.34*1300*12*198.5%*G20+0.3*1300*12*G20</f>
        <v>-30856.17599999989</v>
      </c>
      <c r="H68" s="109">
        <f aca="true" t="shared" si="12" ref="H68:O68">2.34*1300*12*128.5%*H20+0.3*1300*12*H20</f>
        <v>0</v>
      </c>
      <c r="I68" s="109">
        <f t="shared" si="12"/>
        <v>0</v>
      </c>
      <c r="J68" s="109">
        <f t="shared" si="12"/>
        <v>0</v>
      </c>
      <c r="K68" s="109">
        <f t="shared" si="12"/>
        <v>0</v>
      </c>
      <c r="L68" s="109">
        <f t="shared" si="12"/>
        <v>51587.64</v>
      </c>
      <c r="M68" s="109">
        <f t="shared" si="12"/>
        <v>0</v>
      </c>
      <c r="N68" s="109">
        <f t="shared" si="12"/>
        <v>0</v>
      </c>
      <c r="O68" s="109">
        <f t="shared" si="12"/>
        <v>103175.28</v>
      </c>
      <c r="P68" s="110"/>
    </row>
    <row r="69" spans="1:16" s="15" customFormat="1" ht="25.5" customHeight="1">
      <c r="A69" s="43">
        <v>1</v>
      </c>
      <c r="B69" s="78" t="s">
        <v>158</v>
      </c>
      <c r="C69" s="109">
        <f>SUM(D69:O69)</f>
        <v>488877.48000000004</v>
      </c>
      <c r="D69" s="109">
        <f>2.34*1300*12*198.5%*D21+0.3*1300*12*D21</f>
        <v>77140.44</v>
      </c>
      <c r="E69" s="109">
        <f>2.34*1300*12*198.5%*E21+0.3*1300*12*E21</f>
        <v>0</v>
      </c>
      <c r="F69" s="109">
        <f>2.34*1300*12*198.5%*F21+0.3*1300*12*F21</f>
        <v>0</v>
      </c>
      <c r="G69" s="109">
        <f>2.34*1300*12*198.5%*G21+0.3*1300*12*G21</f>
        <v>308561.76</v>
      </c>
      <c r="H69" s="109">
        <f aca="true" t="shared" si="13" ref="H69:O69">2.34*1300*12*128.5%*H21+0.3*1300*12*H21</f>
        <v>0</v>
      </c>
      <c r="I69" s="109">
        <f t="shared" si="13"/>
        <v>0</v>
      </c>
      <c r="J69" s="109">
        <f t="shared" si="13"/>
        <v>0</v>
      </c>
      <c r="K69" s="109">
        <f t="shared" si="13"/>
        <v>51587.64</v>
      </c>
      <c r="L69" s="109">
        <f t="shared" si="13"/>
        <v>51587.64</v>
      </c>
      <c r="M69" s="109">
        <f t="shared" si="13"/>
        <v>0</v>
      </c>
      <c r="N69" s="109">
        <f t="shared" si="13"/>
        <v>0</v>
      </c>
      <c r="O69" s="109">
        <f t="shared" si="13"/>
        <v>0</v>
      </c>
      <c r="P69" s="110"/>
    </row>
    <row r="70" spans="1:16" s="15" customFormat="1" ht="25.5" customHeight="1">
      <c r="A70" s="43">
        <v>2</v>
      </c>
      <c r="B70" s="78" t="s">
        <v>157</v>
      </c>
      <c r="C70" s="109">
        <f aca="true" t="shared" si="14" ref="C70:C78">SUM(D70:O70)</f>
        <v>452717.92800000025</v>
      </c>
      <c r="D70" s="109">
        <f>2.34*1300*12*198.5%*D22+0.3*1300*12*D22</f>
        <v>77140.44</v>
      </c>
      <c r="E70" s="109">
        <f>2.34*1300*12*198.5%*E22+0.3*1300*12*E22</f>
        <v>0</v>
      </c>
      <c r="F70" s="109">
        <f>2.34*1300*12*198.5%*F22+0.3*1300*12*F22</f>
        <v>0</v>
      </c>
      <c r="G70" s="109">
        <f>2.34*1300*12*198.5%*G22+0.3*1300*12*G22</f>
        <v>323989.84800000023</v>
      </c>
      <c r="H70" s="109">
        <f aca="true" t="shared" si="15" ref="H70:O70">2.34*1300*12*128.5%*H22+0.3*1300*12*H22</f>
        <v>0</v>
      </c>
      <c r="I70" s="109">
        <f t="shared" si="15"/>
        <v>0</v>
      </c>
      <c r="J70" s="109">
        <f t="shared" si="15"/>
        <v>0</v>
      </c>
      <c r="K70" s="109">
        <f t="shared" si="15"/>
        <v>51587.64</v>
      </c>
      <c r="L70" s="109">
        <f t="shared" si="15"/>
        <v>0</v>
      </c>
      <c r="M70" s="109">
        <f t="shared" si="15"/>
        <v>0</v>
      </c>
      <c r="N70" s="109">
        <f t="shared" si="15"/>
        <v>0</v>
      </c>
      <c r="O70" s="109">
        <f t="shared" si="15"/>
        <v>0</v>
      </c>
      <c r="P70" s="110"/>
    </row>
    <row r="71" spans="1:16" s="15" customFormat="1" ht="25.5" customHeight="1">
      <c r="A71" s="43">
        <v>3</v>
      </c>
      <c r="B71" s="40" t="s">
        <v>171</v>
      </c>
      <c r="C71" s="109">
        <f t="shared" si="14"/>
        <v>663889.8240000001</v>
      </c>
      <c r="D71" s="109">
        <f>2.34*1300*12*198.5%*D23+0.3*1300*12*D23</f>
        <v>0</v>
      </c>
      <c r="E71" s="109">
        <f>2.34*1300*12*198.5%*E23+0.3*1300*12*E23</f>
        <v>0</v>
      </c>
      <c r="F71" s="109">
        <f>2.34*1300*12*198.5%*F23+0.3*1300*12*F23</f>
        <v>231421.32</v>
      </c>
      <c r="G71" s="109">
        <f>2.34*1300*12*198.5%*G23+0.3*1300*12*G23</f>
        <v>277705.58400000015</v>
      </c>
      <c r="H71" s="109">
        <f aca="true" t="shared" si="16" ref="H71:O71">2.34*1300*12*128.5%*H23+0.3*1300*12*H23</f>
        <v>0</v>
      </c>
      <c r="I71" s="109">
        <f t="shared" si="16"/>
        <v>51587.64</v>
      </c>
      <c r="J71" s="109">
        <f t="shared" si="16"/>
        <v>0</v>
      </c>
      <c r="K71" s="109">
        <f t="shared" si="16"/>
        <v>51587.64</v>
      </c>
      <c r="L71" s="109">
        <f t="shared" si="16"/>
        <v>51587.64</v>
      </c>
      <c r="M71" s="109">
        <f t="shared" si="16"/>
        <v>0</v>
      </c>
      <c r="N71" s="109">
        <f t="shared" si="16"/>
        <v>0</v>
      </c>
      <c r="O71" s="109">
        <f t="shared" si="16"/>
        <v>0</v>
      </c>
      <c r="P71" s="110"/>
    </row>
    <row r="72" spans="1:16" s="15" customFormat="1" ht="21.75" customHeight="1">
      <c r="A72" s="253">
        <v>5</v>
      </c>
      <c r="B72" s="93" t="s">
        <v>166</v>
      </c>
      <c r="C72" s="109">
        <f t="shared" si="14"/>
        <v>342310.64400000003</v>
      </c>
      <c r="D72" s="109">
        <f>2.34*1300*12*198.5%*D24+0.3*1300*12*D24</f>
        <v>0</v>
      </c>
      <c r="E72" s="109">
        <f>2.34*1300*12*198.5%*E24+0.3*1300*12*E24</f>
        <v>0</v>
      </c>
      <c r="F72" s="109">
        <f>2.34*1300*12*198.5%*F24+0.3*1300*12*F24</f>
        <v>-30856.176000000025</v>
      </c>
      <c r="G72" s="109">
        <f>2.34*1300*12*198.5%*G24+0.3*1300*12*G24</f>
        <v>269991.54000000004</v>
      </c>
      <c r="H72" s="109">
        <f aca="true" t="shared" si="17" ref="H72:O72">2.34*1300*12*128.5%*H24+0.3*1300*12*H24</f>
        <v>0</v>
      </c>
      <c r="I72" s="109">
        <f t="shared" si="17"/>
        <v>51587.64</v>
      </c>
      <c r="J72" s="109">
        <f t="shared" si="17"/>
        <v>0</v>
      </c>
      <c r="K72" s="109">
        <f t="shared" si="17"/>
        <v>51587.64</v>
      </c>
      <c r="L72" s="109">
        <f t="shared" si="17"/>
        <v>0</v>
      </c>
      <c r="M72" s="109">
        <f t="shared" si="17"/>
        <v>0</v>
      </c>
      <c r="N72" s="109">
        <f t="shared" si="17"/>
        <v>0</v>
      </c>
      <c r="O72" s="109">
        <f t="shared" si="17"/>
        <v>0</v>
      </c>
      <c r="P72" s="201"/>
    </row>
    <row r="73" spans="1:16" s="15" customFormat="1" ht="18.75" customHeight="1">
      <c r="A73" s="226" t="s">
        <v>10</v>
      </c>
      <c r="B73" s="226" t="s">
        <v>0</v>
      </c>
      <c r="C73" s="226" t="s">
        <v>119</v>
      </c>
      <c r="D73" s="226" t="s">
        <v>27</v>
      </c>
      <c r="E73" s="226" t="s">
        <v>26</v>
      </c>
      <c r="F73" s="226" t="s">
        <v>123</v>
      </c>
      <c r="G73" s="226" t="s">
        <v>124</v>
      </c>
      <c r="H73" s="226" t="s">
        <v>122</v>
      </c>
      <c r="I73" s="226"/>
      <c r="J73" s="226"/>
      <c r="K73" s="226"/>
      <c r="L73" s="226"/>
      <c r="M73" s="226"/>
      <c r="N73" s="226"/>
      <c r="O73" s="226"/>
      <c r="P73" s="226" t="s">
        <v>120</v>
      </c>
    </row>
    <row r="74" spans="1:16" s="15" customFormat="1" ht="69.75" customHeight="1">
      <c r="A74" s="226"/>
      <c r="B74" s="226"/>
      <c r="C74" s="226"/>
      <c r="D74" s="226" t="s">
        <v>25</v>
      </c>
      <c r="E74" s="226"/>
      <c r="F74" s="226"/>
      <c r="G74" s="226"/>
      <c r="H74" s="16" t="s">
        <v>30</v>
      </c>
      <c r="I74" s="16" t="s">
        <v>31</v>
      </c>
      <c r="J74" s="16" t="s">
        <v>32</v>
      </c>
      <c r="K74" s="16" t="s">
        <v>33</v>
      </c>
      <c r="L74" s="16" t="s">
        <v>34</v>
      </c>
      <c r="M74" s="16" t="s">
        <v>35</v>
      </c>
      <c r="N74" s="16" t="s">
        <v>36</v>
      </c>
      <c r="O74" s="16" t="s">
        <v>37</v>
      </c>
      <c r="P74" s="226"/>
    </row>
    <row r="75" spans="1:16" s="15" customFormat="1" ht="21.75" customHeight="1">
      <c r="A75" s="253">
        <v>6</v>
      </c>
      <c r="B75" s="93" t="s">
        <v>167</v>
      </c>
      <c r="C75" s="109">
        <f t="shared" si="14"/>
        <v>360149.4</v>
      </c>
      <c r="D75" s="109">
        <f>2.34*1300*12*198.5%*D27+0.3*1300*12*D27</f>
        <v>0</v>
      </c>
      <c r="E75" s="109">
        <f>2.34*1300*12*198.5%*E27+0.3*1300*12*E27</f>
        <v>0</v>
      </c>
      <c r="F75" s="109">
        <f>2.34*1300*12*198.5%*F27+0.3*1300*12*F27</f>
        <v>308561.76</v>
      </c>
      <c r="G75" s="109">
        <f>2.34*1300*12*198.5%*G27+0.3*1300*12*G27</f>
        <v>0</v>
      </c>
      <c r="H75" s="109">
        <f aca="true" t="shared" si="18" ref="H75:O75">2.34*1300*12*128.5%*H27+0.3*1300*12*H27</f>
        <v>0</v>
      </c>
      <c r="I75" s="109">
        <f t="shared" si="18"/>
        <v>0</v>
      </c>
      <c r="J75" s="109">
        <f t="shared" si="18"/>
        <v>0</v>
      </c>
      <c r="K75" s="109">
        <f t="shared" si="18"/>
        <v>0</v>
      </c>
      <c r="L75" s="109">
        <f t="shared" si="18"/>
        <v>51587.64</v>
      </c>
      <c r="M75" s="109">
        <f t="shared" si="18"/>
        <v>0</v>
      </c>
      <c r="N75" s="109">
        <f t="shared" si="18"/>
        <v>0</v>
      </c>
      <c r="O75" s="109">
        <f t="shared" si="18"/>
        <v>0</v>
      </c>
      <c r="P75" s="194"/>
    </row>
    <row r="76" spans="1:16" s="15" customFormat="1" ht="21.75" customHeight="1">
      <c r="A76" s="253">
        <v>7</v>
      </c>
      <c r="B76" s="93" t="s">
        <v>168</v>
      </c>
      <c r="C76" s="109">
        <f t="shared" si="14"/>
        <v>74729.77199999978</v>
      </c>
      <c r="D76" s="109">
        <f>2.34*1300*12*198.5%*D28+0.3*1300*12*D28</f>
        <v>77140.44</v>
      </c>
      <c r="E76" s="109">
        <f>2.34*1300*12*198.5%*E28+0.3*1300*12*E28</f>
        <v>0</v>
      </c>
      <c r="F76" s="109">
        <f>2.34*1300*12*198.5%*F28+0.3*1300*12*F28</f>
        <v>0</v>
      </c>
      <c r="G76" s="109">
        <f>2.34*1300*12*198.5%*G28+0.3*1300*12*G28</f>
        <v>-53998.30800000022</v>
      </c>
      <c r="H76" s="109">
        <f aca="true" t="shared" si="19" ref="H76:O76">2.34*1300*12*128.5%*H28+0.3*1300*12*H28</f>
        <v>0</v>
      </c>
      <c r="I76" s="109">
        <f t="shared" si="19"/>
        <v>0</v>
      </c>
      <c r="J76" s="109">
        <f t="shared" si="19"/>
        <v>0</v>
      </c>
      <c r="K76" s="109">
        <f t="shared" si="19"/>
        <v>0</v>
      </c>
      <c r="L76" s="109">
        <f t="shared" si="19"/>
        <v>0</v>
      </c>
      <c r="M76" s="109">
        <f t="shared" si="19"/>
        <v>51587.64</v>
      </c>
      <c r="N76" s="109">
        <f t="shared" si="19"/>
        <v>0</v>
      </c>
      <c r="O76" s="109">
        <f t="shared" si="19"/>
        <v>0</v>
      </c>
      <c r="P76" s="194"/>
    </row>
    <row r="77" spans="1:16" s="15" customFormat="1" ht="21.75" customHeight="1">
      <c r="A77" s="253">
        <v>8</v>
      </c>
      <c r="B77" s="93" t="s">
        <v>169</v>
      </c>
      <c r="C77" s="109">
        <f t="shared" si="14"/>
        <v>180315.72</v>
      </c>
      <c r="D77" s="109">
        <f>2.34*1300*12*198.5%*D29+0.3*1300*12*D29</f>
        <v>77140.44</v>
      </c>
      <c r="E77" s="109">
        <f>2.34*1300*12*198.5%*E29+0.3*1300*12*E29</f>
        <v>0</v>
      </c>
      <c r="F77" s="109">
        <f>2.34*1300*12*198.5%*F29+0.3*1300*12*F29</f>
        <v>0</v>
      </c>
      <c r="G77" s="109">
        <f>2.34*1300*12*198.5%*G29+0.3*1300*12*G29</f>
        <v>0</v>
      </c>
      <c r="H77" s="109">
        <f aca="true" t="shared" si="20" ref="H77:O77">2.34*1300*12*128.5%*H29+0.3*1300*12*H29</f>
        <v>0</v>
      </c>
      <c r="I77" s="109">
        <f t="shared" si="20"/>
        <v>51587.64</v>
      </c>
      <c r="J77" s="109">
        <f t="shared" si="20"/>
        <v>0</v>
      </c>
      <c r="K77" s="109">
        <f t="shared" si="20"/>
        <v>0</v>
      </c>
      <c r="L77" s="109">
        <f t="shared" si="20"/>
        <v>0</v>
      </c>
      <c r="M77" s="109">
        <f t="shared" si="20"/>
        <v>51587.64</v>
      </c>
      <c r="N77" s="109">
        <f t="shared" si="20"/>
        <v>0</v>
      </c>
      <c r="O77" s="109">
        <f t="shared" si="20"/>
        <v>0</v>
      </c>
      <c r="P77" s="194"/>
    </row>
    <row r="78" spans="1:16" s="15" customFormat="1" ht="21.75" customHeight="1">
      <c r="A78" s="253">
        <v>9</v>
      </c>
      <c r="B78" s="93" t="s">
        <v>170</v>
      </c>
      <c r="C78" s="109">
        <f t="shared" si="14"/>
        <v>10317.527999999977</v>
      </c>
      <c r="D78" s="109">
        <f>2.34*1300*12*198.5%*D30+0.3*1300*12*D30</f>
        <v>0</v>
      </c>
      <c r="E78" s="109">
        <f>2.34*1300*12*198.5%*E30+0.3*1300*12*E30</f>
        <v>0</v>
      </c>
      <c r="F78" s="109">
        <f>2.34*1300*12*128.5%*F30+0.3*1300*12*F30</f>
        <v>-144445.39200000002</v>
      </c>
      <c r="G78" s="109">
        <v>0</v>
      </c>
      <c r="H78" s="109">
        <f aca="true" t="shared" si="21" ref="H78:O78">2.34*1300*12*128.5%*H30+0.3*1300*12*H30</f>
        <v>0</v>
      </c>
      <c r="I78" s="109">
        <f t="shared" si="21"/>
        <v>0</v>
      </c>
      <c r="J78" s="109">
        <f t="shared" si="21"/>
        <v>0</v>
      </c>
      <c r="K78" s="109">
        <f t="shared" si="21"/>
        <v>51587.64</v>
      </c>
      <c r="L78" s="109">
        <f t="shared" si="21"/>
        <v>51587.64</v>
      </c>
      <c r="M78" s="109">
        <f t="shared" si="21"/>
        <v>51587.64</v>
      </c>
      <c r="N78" s="109">
        <f t="shared" si="21"/>
        <v>0</v>
      </c>
      <c r="O78" s="109">
        <f t="shared" si="21"/>
        <v>0</v>
      </c>
      <c r="P78" s="194"/>
    </row>
    <row r="79" spans="1:16" s="15" customFormat="1" ht="25.5" customHeight="1">
      <c r="A79" s="42" t="s">
        <v>208</v>
      </c>
      <c r="B79" s="104" t="s">
        <v>180</v>
      </c>
      <c r="C79" s="111"/>
      <c r="D79" s="110"/>
      <c r="E79" s="110"/>
      <c r="F79" s="110"/>
      <c r="G79" s="110"/>
      <c r="H79" s="109">
        <f aca="true" t="shared" si="22" ref="H79:O79">2.34*1300*12*128.5%*H31+0.3*1300*12*H31</f>
        <v>0</v>
      </c>
      <c r="I79" s="109">
        <f t="shared" si="22"/>
        <v>0</v>
      </c>
      <c r="J79" s="109">
        <f t="shared" si="22"/>
        <v>0</v>
      </c>
      <c r="K79" s="109">
        <f t="shared" si="22"/>
        <v>0</v>
      </c>
      <c r="L79" s="109">
        <f t="shared" si="22"/>
        <v>0</v>
      </c>
      <c r="M79" s="109">
        <f t="shared" si="22"/>
        <v>0</v>
      </c>
      <c r="N79" s="109">
        <f t="shared" si="22"/>
        <v>0</v>
      </c>
      <c r="O79" s="109">
        <f t="shared" si="22"/>
        <v>0</v>
      </c>
      <c r="P79" s="110"/>
    </row>
    <row r="80" spans="1:16" s="15" customFormat="1" ht="25.5" customHeight="1">
      <c r="A80" s="71">
        <v>1</v>
      </c>
      <c r="B80" s="93" t="s">
        <v>173</v>
      </c>
      <c r="C80" s="109">
        <f aca="true" t="shared" si="23" ref="C80:C88">SUM(D80:O80)</f>
        <v>72319.10400000011</v>
      </c>
      <c r="D80" s="109">
        <f>2.34*1300*12*198.5%*D32+0.3*1300*12*D32</f>
        <v>0</v>
      </c>
      <c r="E80" s="109">
        <f>2.34*1300*12*198.5%*E32+0.3*1300*12*E32</f>
        <v>0</v>
      </c>
      <c r="F80" s="109">
        <f>2.34*1300*12*198.5%*F32+0.3*1300*12*F32</f>
        <v>0</v>
      </c>
      <c r="G80" s="109">
        <f>2.34*1300*12*198.5%*G32+0.3*1300*12*G32</f>
        <v>-30856.17599999989</v>
      </c>
      <c r="H80" s="109">
        <f aca="true" t="shared" si="24" ref="H80:O80">2.34*1300*12*128.5%*H32+0.3*1300*12*H32</f>
        <v>0</v>
      </c>
      <c r="I80" s="109">
        <f t="shared" si="24"/>
        <v>0</v>
      </c>
      <c r="J80" s="109">
        <f t="shared" si="24"/>
        <v>0</v>
      </c>
      <c r="K80" s="109">
        <f t="shared" si="24"/>
        <v>0</v>
      </c>
      <c r="L80" s="109">
        <f t="shared" si="24"/>
        <v>51587.64</v>
      </c>
      <c r="M80" s="109">
        <f t="shared" si="24"/>
        <v>0</v>
      </c>
      <c r="N80" s="109">
        <f t="shared" si="24"/>
        <v>0</v>
      </c>
      <c r="O80" s="109">
        <f t="shared" si="24"/>
        <v>51587.64</v>
      </c>
      <c r="P80" s="110"/>
    </row>
    <row r="81" spans="1:16" s="15" customFormat="1" ht="25.5" customHeight="1">
      <c r="A81" s="254">
        <v>2</v>
      </c>
      <c r="B81" s="102" t="s">
        <v>185</v>
      </c>
      <c r="C81" s="109">
        <f t="shared" si="23"/>
        <v>262277.49600000016</v>
      </c>
      <c r="D81" s="109">
        <f>2.34*1300*12*198.5%*D33+0.3*1300*12*D33</f>
        <v>0</v>
      </c>
      <c r="E81" s="109">
        <f>2.34*1300*12*198.5%*E33+0.3*1300*12*E33</f>
        <v>0</v>
      </c>
      <c r="F81" s="109">
        <f>2.34*1300*12*198.5%*F33+0.3*1300*12*F33</f>
        <v>0</v>
      </c>
      <c r="G81" s="109">
        <f>2.34*1300*12*198.5%*G33+0.3*1300*12*G33</f>
        <v>262277.49600000016</v>
      </c>
      <c r="H81" s="109">
        <f aca="true" t="shared" si="25" ref="H81:O81">2.34*1300*12*128.5%*H33+0.3*1300*12*H33</f>
        <v>0</v>
      </c>
      <c r="I81" s="109">
        <f t="shared" si="25"/>
        <v>0</v>
      </c>
      <c r="J81" s="109">
        <f t="shared" si="25"/>
        <v>0</v>
      </c>
      <c r="K81" s="109">
        <f t="shared" si="25"/>
        <v>0</v>
      </c>
      <c r="L81" s="109">
        <f t="shared" si="25"/>
        <v>0</v>
      </c>
      <c r="M81" s="109">
        <f t="shared" si="25"/>
        <v>0</v>
      </c>
      <c r="N81" s="109">
        <f t="shared" si="25"/>
        <v>0</v>
      </c>
      <c r="O81" s="109">
        <f t="shared" si="25"/>
        <v>0</v>
      </c>
      <c r="P81" s="110"/>
    </row>
    <row r="82" spans="1:16" s="15" customFormat="1" ht="25.5" customHeight="1">
      <c r="A82" s="71">
        <v>3</v>
      </c>
      <c r="B82" s="102" t="s">
        <v>186</v>
      </c>
      <c r="C82" s="109">
        <f t="shared" si="23"/>
        <v>684139.2480000001</v>
      </c>
      <c r="D82" s="109">
        <f>2.34*1300*12*198.5%*D34+0.3*1300*12*D34</f>
        <v>0</v>
      </c>
      <c r="E82" s="109">
        <f>2.34*1300*12*198.5%*E34+0.3*1300*12*E34</f>
        <v>0</v>
      </c>
      <c r="F82" s="109">
        <f>2.34*1300*12*198.5%*F34+0.3*1300*12*F34</f>
        <v>462842.64</v>
      </c>
      <c r="G82" s="109">
        <f>2.34*1300*12*198.5%*G34+0.3*1300*12*G34</f>
        <v>169708.96800000008</v>
      </c>
      <c r="H82" s="109">
        <f aca="true" t="shared" si="26" ref="H82:O82">2.34*1300*12*128.5%*H34+0.3*1300*12*H34</f>
        <v>51587.64</v>
      </c>
      <c r="I82" s="109">
        <f t="shared" si="26"/>
        <v>0</v>
      </c>
      <c r="J82" s="109">
        <f t="shared" si="26"/>
        <v>0</v>
      </c>
      <c r="K82" s="109">
        <f t="shared" si="26"/>
        <v>0</v>
      </c>
      <c r="L82" s="109">
        <f t="shared" si="26"/>
        <v>0</v>
      </c>
      <c r="M82" s="109">
        <f t="shared" si="26"/>
        <v>0</v>
      </c>
      <c r="N82" s="109">
        <f t="shared" si="26"/>
        <v>0</v>
      </c>
      <c r="O82" s="109">
        <f t="shared" si="26"/>
        <v>0</v>
      </c>
      <c r="P82" s="110"/>
    </row>
    <row r="83" spans="1:16" s="15" customFormat="1" ht="25.5" customHeight="1">
      <c r="A83" s="254">
        <v>4</v>
      </c>
      <c r="B83" s="102" t="s">
        <v>187</v>
      </c>
      <c r="C83" s="109">
        <f t="shared" si="23"/>
        <v>357738.7320000001</v>
      </c>
      <c r="D83" s="109">
        <f>2.34*1300*12*198.5%*D35+0.3*1300*12*D35</f>
        <v>0</v>
      </c>
      <c r="E83" s="109">
        <f>2.34*1300*12*198.5%*E35+0.3*1300*12*E35</f>
        <v>0</v>
      </c>
      <c r="F83" s="109">
        <f>2.34*1300*12*198.5%*F35+0.3*1300*12*F35</f>
        <v>347131.98</v>
      </c>
      <c r="G83" s="109">
        <f>2.34*1300*12*198.5%*G35+0.3*1300*12*G35</f>
        <v>-92568.52799999995</v>
      </c>
      <c r="H83" s="109">
        <f aca="true" t="shared" si="27" ref="H83:O83">2.34*1300*12*128.5%*H35+0.3*1300*12*H35</f>
        <v>0</v>
      </c>
      <c r="I83" s="109">
        <f t="shared" si="27"/>
        <v>51587.64</v>
      </c>
      <c r="J83" s="109">
        <f t="shared" si="27"/>
        <v>0</v>
      </c>
      <c r="K83" s="109">
        <f t="shared" si="27"/>
        <v>0</v>
      </c>
      <c r="L83" s="109">
        <f t="shared" si="27"/>
        <v>0</v>
      </c>
      <c r="M83" s="109">
        <f t="shared" si="27"/>
        <v>51587.64</v>
      </c>
      <c r="N83" s="109">
        <f t="shared" si="27"/>
        <v>0</v>
      </c>
      <c r="O83" s="109">
        <f t="shared" si="27"/>
        <v>0</v>
      </c>
      <c r="P83" s="110"/>
    </row>
    <row r="84" spans="1:16" s="15" customFormat="1" ht="25.5" customHeight="1">
      <c r="A84" s="71">
        <v>5</v>
      </c>
      <c r="B84" s="102" t="s">
        <v>188</v>
      </c>
      <c r="C84" s="109">
        <f t="shared" si="23"/>
        <v>393416.24400000006</v>
      </c>
      <c r="D84" s="109">
        <f>2.34*1300*12*198.5%*D36+0.3*1300*12*D36</f>
        <v>0</v>
      </c>
      <c r="E84" s="109">
        <f>2.34*1300*12*198.5%*E36+0.3*1300*12*E36</f>
        <v>0</v>
      </c>
      <c r="F84" s="109">
        <f>2.34*1300*12*198.5%*F36+0.3*1300*12*F36</f>
        <v>347131.98</v>
      </c>
      <c r="G84" s="109">
        <f>2.34*1300*12*198.5%*G36+0.3*1300*12*G36</f>
        <v>46284.26400000011</v>
      </c>
      <c r="H84" s="109">
        <f aca="true" t="shared" si="28" ref="H84:O84">2.34*1300*12*128.5%*H36+0.3*1300*12*H36</f>
        <v>0</v>
      </c>
      <c r="I84" s="109">
        <f t="shared" si="28"/>
        <v>0</v>
      </c>
      <c r="J84" s="109">
        <f t="shared" si="28"/>
        <v>0</v>
      </c>
      <c r="K84" s="109">
        <f t="shared" si="28"/>
        <v>0</v>
      </c>
      <c r="L84" s="109">
        <f t="shared" si="28"/>
        <v>0</v>
      </c>
      <c r="M84" s="109">
        <f t="shared" si="28"/>
        <v>0</v>
      </c>
      <c r="N84" s="109">
        <f t="shared" si="28"/>
        <v>0</v>
      </c>
      <c r="O84" s="109">
        <f t="shared" si="28"/>
        <v>0</v>
      </c>
      <c r="P84" s="110"/>
    </row>
    <row r="85" spans="1:16" s="15" customFormat="1" ht="25.5" customHeight="1">
      <c r="A85" s="254">
        <v>6</v>
      </c>
      <c r="B85" s="102" t="s">
        <v>258</v>
      </c>
      <c r="C85" s="109">
        <f t="shared" si="23"/>
        <v>365452.7760000002</v>
      </c>
      <c r="D85" s="109">
        <f>2.34*1300*12*198.5%*D37+0.3*1300*12*D37</f>
        <v>0</v>
      </c>
      <c r="E85" s="109">
        <f>2.34*1300*12*198.5%*E37+0.3*1300*12*E37</f>
        <v>0</v>
      </c>
      <c r="F85" s="109">
        <f>2.34*1300*12*198.5%*F37+0.3*1300*12*F37</f>
        <v>0</v>
      </c>
      <c r="G85" s="109">
        <f>2.34*1300*12*198.5%*G37+0.3*1300*12*G37</f>
        <v>262277.49600000016</v>
      </c>
      <c r="H85" s="109">
        <f aca="true" t="shared" si="29" ref="H85:O85">2.34*1300*12*128.5%*H37+0.3*1300*12*H37</f>
        <v>0</v>
      </c>
      <c r="I85" s="109">
        <f t="shared" si="29"/>
        <v>51587.64</v>
      </c>
      <c r="J85" s="109">
        <f t="shared" si="29"/>
        <v>0</v>
      </c>
      <c r="K85" s="109">
        <f t="shared" si="29"/>
        <v>0</v>
      </c>
      <c r="L85" s="109">
        <f t="shared" si="29"/>
        <v>0</v>
      </c>
      <c r="M85" s="109">
        <f t="shared" si="29"/>
        <v>51587.64</v>
      </c>
      <c r="N85" s="109">
        <f t="shared" si="29"/>
        <v>0</v>
      </c>
      <c r="O85" s="109">
        <f t="shared" si="29"/>
        <v>0</v>
      </c>
      <c r="P85" s="110"/>
    </row>
    <row r="86" spans="1:16" s="15" customFormat="1" ht="25.5" customHeight="1">
      <c r="A86" s="71">
        <v>7</v>
      </c>
      <c r="B86" s="102" t="s">
        <v>251</v>
      </c>
      <c r="C86" s="109">
        <f t="shared" si="23"/>
        <v>717888.1320000001</v>
      </c>
      <c r="D86" s="109">
        <f>2.34*1300*12*198.5%*D38+0.3*1300*12*D38</f>
        <v>0</v>
      </c>
      <c r="E86" s="109">
        <f>2.34*1300*12*198.5%*E38+0.3*1300*12*E38</f>
        <v>0</v>
      </c>
      <c r="F86" s="109">
        <f>2.34*1300*12*198.5%*F38+0.3*1300*12*F38</f>
        <v>192851.1</v>
      </c>
      <c r="G86" s="109">
        <f>2.34*1300*12*198.5%*G38+0.3*1300*12*G38</f>
        <v>370274.1120000001</v>
      </c>
      <c r="H86" s="109">
        <f aca="true" t="shared" si="30" ref="H86:O86">2.34*1300*12*128.5%*H38+0.3*1300*12*H38</f>
        <v>51587.64</v>
      </c>
      <c r="I86" s="109">
        <f t="shared" si="30"/>
        <v>51587.64</v>
      </c>
      <c r="J86" s="109">
        <f t="shared" si="30"/>
        <v>0</v>
      </c>
      <c r="K86" s="109">
        <f t="shared" si="30"/>
        <v>0</v>
      </c>
      <c r="L86" s="109">
        <f t="shared" si="30"/>
        <v>0</v>
      </c>
      <c r="M86" s="109">
        <f t="shared" si="30"/>
        <v>51587.64</v>
      </c>
      <c r="N86" s="109">
        <f t="shared" si="30"/>
        <v>0</v>
      </c>
      <c r="O86" s="109">
        <f t="shared" si="30"/>
        <v>0</v>
      </c>
      <c r="P86" s="110"/>
    </row>
    <row r="87" spans="1:16" s="15" customFormat="1" ht="25.5" customHeight="1">
      <c r="A87" s="254">
        <v>8</v>
      </c>
      <c r="B87" s="102" t="s">
        <v>252</v>
      </c>
      <c r="C87" s="109">
        <f t="shared" si="23"/>
        <v>252152.7840000001</v>
      </c>
      <c r="D87" s="109">
        <f>2.34*1300*12*198.5%*D39+0.3*1300*12*D39</f>
        <v>0</v>
      </c>
      <c r="E87" s="109">
        <f>2.34*1300*12*198.5%*E39+0.3*1300*12*E39</f>
        <v>0</v>
      </c>
      <c r="F87" s="109">
        <f>2.34*1300*12*198.5%*F39+0.3*1300*12*F39</f>
        <v>0</v>
      </c>
      <c r="G87" s="109">
        <f>2.34*1300*12*198.5%*G39+0.3*1300*12*G39</f>
        <v>200565.14400000012</v>
      </c>
      <c r="H87" s="109">
        <f aca="true" t="shared" si="31" ref="H87:O87">2.34*1300*12*128.5%*H39+0.3*1300*12*H39</f>
        <v>0</v>
      </c>
      <c r="I87" s="109">
        <f t="shared" si="31"/>
        <v>0</v>
      </c>
      <c r="J87" s="109">
        <f t="shared" si="31"/>
        <v>0</v>
      </c>
      <c r="K87" s="109">
        <f t="shared" si="31"/>
        <v>0</v>
      </c>
      <c r="L87" s="109">
        <f t="shared" si="31"/>
        <v>0</v>
      </c>
      <c r="M87" s="109">
        <f t="shared" si="31"/>
        <v>51587.64</v>
      </c>
      <c r="N87" s="109">
        <f t="shared" si="31"/>
        <v>0</v>
      </c>
      <c r="O87" s="109">
        <f t="shared" si="31"/>
        <v>0</v>
      </c>
      <c r="P87" s="110"/>
    </row>
    <row r="88" spans="1:16" s="15" customFormat="1" ht="25.5" customHeight="1">
      <c r="A88" s="71">
        <v>9</v>
      </c>
      <c r="B88" s="102" t="s">
        <v>254</v>
      </c>
      <c r="C88" s="109">
        <f t="shared" si="23"/>
        <v>375577.48800000024</v>
      </c>
      <c r="D88" s="109">
        <f>2.34*1300*12*198.5%*D40+0.3*1300*12*D40</f>
        <v>0</v>
      </c>
      <c r="E88" s="109">
        <f>2.34*1300*12*198.5%*E40+0.3*1300*12*E40</f>
        <v>0</v>
      </c>
      <c r="F88" s="109">
        <f>2.34*1300*12*198.5%*F40+0.3*1300*12*F40</f>
        <v>0</v>
      </c>
      <c r="G88" s="109">
        <f>2.34*1300*12*198.5%*G40+0.3*1300*12*G40</f>
        <v>323989.84800000023</v>
      </c>
      <c r="H88" s="109">
        <f aca="true" t="shared" si="32" ref="H88:O88">2.34*1300*12*128.5%*H40+0.3*1300*12*H40</f>
        <v>0</v>
      </c>
      <c r="I88" s="109">
        <f t="shared" si="32"/>
        <v>0</v>
      </c>
      <c r="J88" s="109">
        <f t="shared" si="32"/>
        <v>0</v>
      </c>
      <c r="K88" s="109">
        <f t="shared" si="32"/>
        <v>0</v>
      </c>
      <c r="L88" s="109">
        <f t="shared" si="32"/>
        <v>0</v>
      </c>
      <c r="M88" s="109">
        <f t="shared" si="32"/>
        <v>51587.64</v>
      </c>
      <c r="N88" s="109">
        <f t="shared" si="32"/>
        <v>0</v>
      </c>
      <c r="O88" s="109">
        <f t="shared" si="32"/>
        <v>0</v>
      </c>
      <c r="P88" s="110"/>
    </row>
    <row r="89" spans="1:16" s="15" customFormat="1" ht="25.5" customHeight="1">
      <c r="A89" s="107"/>
      <c r="B89" s="176" t="s">
        <v>112</v>
      </c>
      <c r="C89" s="114">
        <f aca="true" t="shared" si="33" ref="C89:O89">SUM(C57:C88)</f>
        <v>7472207.340000001</v>
      </c>
      <c r="D89" s="114">
        <f t="shared" si="33"/>
        <v>617123.52</v>
      </c>
      <c r="E89" s="114">
        <f t="shared" si="33"/>
        <v>308561.76</v>
      </c>
      <c r="F89" s="114">
        <f t="shared" si="33"/>
        <v>1148621.292</v>
      </c>
      <c r="G89" s="114">
        <f t="shared" si="33"/>
        <v>2715343.488000002</v>
      </c>
      <c r="H89" s="114">
        <f t="shared" si="33"/>
        <v>257938.2</v>
      </c>
      <c r="I89" s="114">
        <f t="shared" si="33"/>
        <v>619051.68</v>
      </c>
      <c r="J89" s="114">
        <f t="shared" si="33"/>
        <v>51587.64</v>
      </c>
      <c r="K89" s="114">
        <f t="shared" si="33"/>
        <v>257938.2</v>
      </c>
      <c r="L89" s="114">
        <f t="shared" si="33"/>
        <v>567464.04</v>
      </c>
      <c r="M89" s="114">
        <f t="shared" si="33"/>
        <v>670639.3200000001</v>
      </c>
      <c r="N89" s="114">
        <f t="shared" si="33"/>
        <v>0</v>
      </c>
      <c r="O89" s="114">
        <f t="shared" si="33"/>
        <v>257938.2</v>
      </c>
      <c r="P89" s="114"/>
    </row>
    <row r="101" ht="32.25" customHeight="1"/>
    <row r="102" ht="32.25" customHeight="1"/>
    <row r="108" spans="1:16" s="15" customFormat="1" ht="20.25" customHeight="1">
      <c r="A108" s="14" t="s">
        <v>121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 t="s">
        <v>118</v>
      </c>
      <c r="O108" s="17"/>
      <c r="P108" s="17"/>
    </row>
    <row r="109" spans="1:16" s="15" customFormat="1" ht="18.75" customHeight="1">
      <c r="A109" s="226" t="s">
        <v>10</v>
      </c>
      <c r="B109" s="226" t="s">
        <v>0</v>
      </c>
      <c r="C109" s="226" t="s">
        <v>119</v>
      </c>
      <c r="D109" s="226" t="s">
        <v>27</v>
      </c>
      <c r="E109" s="226" t="s">
        <v>26</v>
      </c>
      <c r="F109" s="226" t="s">
        <v>123</v>
      </c>
      <c r="G109" s="226" t="s">
        <v>124</v>
      </c>
      <c r="H109" s="226" t="s">
        <v>122</v>
      </c>
      <c r="I109" s="226"/>
      <c r="J109" s="226"/>
      <c r="K109" s="226"/>
      <c r="L109" s="226"/>
      <c r="M109" s="226"/>
      <c r="N109" s="226"/>
      <c r="O109" s="226"/>
      <c r="P109" s="226" t="s">
        <v>120</v>
      </c>
    </row>
    <row r="110" spans="1:16" s="15" customFormat="1" ht="69.75" customHeight="1">
      <c r="A110" s="226"/>
      <c r="B110" s="226"/>
      <c r="C110" s="226"/>
      <c r="D110" s="226" t="s">
        <v>25</v>
      </c>
      <c r="E110" s="226"/>
      <c r="F110" s="226"/>
      <c r="G110" s="226"/>
      <c r="H110" s="16" t="s">
        <v>30</v>
      </c>
      <c r="I110" s="16" t="s">
        <v>31</v>
      </c>
      <c r="J110" s="16" t="s">
        <v>32</v>
      </c>
      <c r="K110" s="16" t="s">
        <v>33</v>
      </c>
      <c r="L110" s="16" t="s">
        <v>34</v>
      </c>
      <c r="M110" s="16" t="s">
        <v>35</v>
      </c>
      <c r="N110" s="16" t="s">
        <v>36</v>
      </c>
      <c r="O110" s="16" t="s">
        <v>37</v>
      </c>
      <c r="P110" s="226"/>
    </row>
    <row r="111" spans="1:16" s="15" customFormat="1" ht="18.75" customHeight="1">
      <c r="A111" s="13">
        <v>1</v>
      </c>
      <c r="B111" s="13">
        <v>2</v>
      </c>
      <c r="C111" s="13">
        <v>3</v>
      </c>
      <c r="D111" s="13">
        <v>4</v>
      </c>
      <c r="E111" s="13">
        <v>5</v>
      </c>
      <c r="F111" s="13">
        <v>6</v>
      </c>
      <c r="G111" s="13">
        <v>7</v>
      </c>
      <c r="H111" s="13">
        <v>8</v>
      </c>
      <c r="I111" s="13">
        <v>9</v>
      </c>
      <c r="J111" s="13">
        <v>10</v>
      </c>
      <c r="K111" s="13">
        <v>11</v>
      </c>
      <c r="L111" s="13">
        <v>12</v>
      </c>
      <c r="M111" s="13">
        <v>13</v>
      </c>
      <c r="N111" s="13">
        <v>14</v>
      </c>
      <c r="O111" s="13">
        <v>15</v>
      </c>
      <c r="P111" s="13">
        <v>16</v>
      </c>
    </row>
    <row r="112" spans="1:16" s="15" customFormat="1" ht="21" customHeight="1">
      <c r="A112" s="11">
        <v>1</v>
      </c>
      <c r="B112" s="5" t="s">
        <v>149</v>
      </c>
      <c r="C112" s="109">
        <f>SUM(D112:O112)</f>
        <v>958750</v>
      </c>
      <c r="D112" s="109"/>
      <c r="E112" s="109"/>
      <c r="F112" s="109"/>
      <c r="G112" s="109">
        <v>903750</v>
      </c>
      <c r="H112" s="109"/>
      <c r="I112" s="109"/>
      <c r="J112" s="109"/>
      <c r="K112" s="109"/>
      <c r="L112" s="109"/>
      <c r="M112" s="109">
        <v>55000</v>
      </c>
      <c r="N112" s="110"/>
      <c r="O112" s="110"/>
      <c r="P112" s="110"/>
    </row>
    <row r="113" spans="1:16" s="15" customFormat="1" ht="21" customHeight="1">
      <c r="A113" s="42" t="s">
        <v>40</v>
      </c>
      <c r="B113" s="10" t="s">
        <v>131</v>
      </c>
      <c r="C113" s="111"/>
      <c r="D113" s="110"/>
      <c r="E113" s="110"/>
      <c r="F113" s="110"/>
      <c r="G113" s="110"/>
      <c r="H113" s="110"/>
      <c r="I113" s="110"/>
      <c r="J113" s="112"/>
      <c r="K113" s="112"/>
      <c r="L113" s="112"/>
      <c r="M113" s="112"/>
      <c r="N113" s="112"/>
      <c r="O113" s="112"/>
      <c r="P113" s="113"/>
    </row>
    <row r="114" spans="1:16" s="15" customFormat="1" ht="21" customHeight="1">
      <c r="A114" s="43">
        <v>1</v>
      </c>
      <c r="B114" s="68" t="s">
        <v>138</v>
      </c>
      <c r="C114" s="109">
        <f>SUM(D114:O114)</f>
        <v>1164906</v>
      </c>
      <c r="D114" s="109"/>
      <c r="E114" s="109">
        <v>232981</v>
      </c>
      <c r="F114" s="109"/>
      <c r="G114" s="109">
        <v>698944</v>
      </c>
      <c r="H114" s="109"/>
      <c r="I114" s="109">
        <v>232981</v>
      </c>
      <c r="J114" s="109"/>
      <c r="K114" s="109"/>
      <c r="L114" s="109"/>
      <c r="M114" s="109"/>
      <c r="N114" s="109"/>
      <c r="O114" s="109"/>
      <c r="P114" s="109"/>
    </row>
    <row r="115" spans="1:16" s="15" customFormat="1" ht="21" customHeight="1">
      <c r="A115" s="43">
        <v>2</v>
      </c>
      <c r="B115" s="5" t="s">
        <v>139</v>
      </c>
      <c r="C115" s="109">
        <f>SUM(D115:O115)</f>
        <v>1208000</v>
      </c>
      <c r="D115" s="109"/>
      <c r="E115" s="109">
        <v>96000</v>
      </c>
      <c r="F115" s="109">
        <v>672000</v>
      </c>
      <c r="G115" s="109"/>
      <c r="H115" s="109">
        <v>96000</v>
      </c>
      <c r="I115" s="109"/>
      <c r="J115" s="109">
        <v>96000</v>
      </c>
      <c r="K115" s="109"/>
      <c r="L115" s="109">
        <v>96000</v>
      </c>
      <c r="M115" s="109">
        <v>56000</v>
      </c>
      <c r="N115" s="109"/>
      <c r="O115" s="109">
        <v>96000</v>
      </c>
      <c r="P115" s="109">
        <v>480000</v>
      </c>
    </row>
    <row r="116" spans="1:16" s="15" customFormat="1" ht="21" customHeight="1">
      <c r="A116" s="29">
        <v>3</v>
      </c>
      <c r="B116" s="5" t="s">
        <v>140</v>
      </c>
      <c r="C116" s="109">
        <f>SUM(D116:O116)</f>
        <v>378000</v>
      </c>
      <c r="D116" s="109">
        <v>75600</v>
      </c>
      <c r="E116" s="109"/>
      <c r="F116" s="109"/>
      <c r="G116" s="109"/>
      <c r="H116" s="109">
        <v>75600</v>
      </c>
      <c r="I116" s="109"/>
      <c r="J116" s="109">
        <v>75600</v>
      </c>
      <c r="K116" s="109"/>
      <c r="L116" s="109">
        <v>75600</v>
      </c>
      <c r="M116" s="109"/>
      <c r="N116" s="109"/>
      <c r="O116" s="109">
        <v>75600</v>
      </c>
      <c r="P116" s="109">
        <v>70200</v>
      </c>
    </row>
    <row r="117" spans="1:16" s="15" customFormat="1" ht="21" customHeight="1">
      <c r="A117" s="29">
        <v>4</v>
      </c>
      <c r="B117" s="5" t="s">
        <v>141</v>
      </c>
      <c r="C117" s="109">
        <f>SUM(D117:O117)</f>
        <v>1248000</v>
      </c>
      <c r="D117" s="109"/>
      <c r="E117" s="109">
        <v>96000</v>
      </c>
      <c r="F117" s="109">
        <v>576000</v>
      </c>
      <c r="G117" s="109"/>
      <c r="H117" s="109">
        <v>96000</v>
      </c>
      <c r="I117" s="109">
        <v>96000</v>
      </c>
      <c r="J117" s="109">
        <v>96000</v>
      </c>
      <c r="K117" s="109"/>
      <c r="L117" s="109">
        <v>96000</v>
      </c>
      <c r="M117" s="109">
        <v>96000</v>
      </c>
      <c r="N117" s="109"/>
      <c r="O117" s="109">
        <v>96000</v>
      </c>
      <c r="P117" s="109">
        <v>384000</v>
      </c>
    </row>
    <row r="118" spans="1:16" s="15" customFormat="1" ht="21" customHeight="1">
      <c r="A118" s="11" t="s">
        <v>40</v>
      </c>
      <c r="B118" s="10" t="s">
        <v>148</v>
      </c>
      <c r="C118" s="111"/>
      <c r="D118" s="110"/>
      <c r="E118" s="110"/>
      <c r="F118" s="110"/>
      <c r="G118" s="110"/>
      <c r="H118" s="110"/>
      <c r="I118" s="110"/>
      <c r="J118" s="112"/>
      <c r="K118" s="112"/>
      <c r="L118" s="112"/>
      <c r="M118" s="112"/>
      <c r="N118" s="112"/>
      <c r="O118" s="112"/>
      <c r="P118" s="113"/>
    </row>
    <row r="119" spans="1:16" s="15" customFormat="1" ht="21" customHeight="1">
      <c r="A119" s="43">
        <v>1</v>
      </c>
      <c r="B119" s="69" t="s">
        <v>142</v>
      </c>
      <c r="C119" s="109">
        <f>SUM(D119:O119)</f>
        <v>305000</v>
      </c>
      <c r="D119" s="110"/>
      <c r="E119" s="110"/>
      <c r="F119" s="110"/>
      <c r="G119" s="110"/>
      <c r="H119" s="110">
        <v>168000</v>
      </c>
      <c r="I119" s="110">
        <v>137000</v>
      </c>
      <c r="J119" s="110"/>
      <c r="K119" s="110"/>
      <c r="L119" s="110"/>
      <c r="M119" s="110"/>
      <c r="N119" s="110"/>
      <c r="O119" s="110"/>
      <c r="P119" s="110">
        <v>431234</v>
      </c>
    </row>
    <row r="120" spans="1:16" ht="16.5">
      <c r="A120" s="11">
        <v>2</v>
      </c>
      <c r="B120" s="5" t="s">
        <v>144</v>
      </c>
      <c r="C120" s="109">
        <f>SUM(D120:O120)</f>
        <v>73008</v>
      </c>
      <c r="D120" s="110"/>
      <c r="E120" s="110"/>
      <c r="F120" s="110"/>
      <c r="G120" s="110"/>
      <c r="H120" s="110"/>
      <c r="I120" s="110"/>
      <c r="J120" s="110"/>
      <c r="K120" s="110"/>
      <c r="L120" s="110">
        <f>2.34*1300*12</f>
        <v>36504</v>
      </c>
      <c r="M120" s="110">
        <f>2.34*1300*12</f>
        <v>36504</v>
      </c>
      <c r="N120" s="110"/>
      <c r="O120" s="110"/>
      <c r="P120" s="110">
        <f>3*1300*12</f>
        <v>46800</v>
      </c>
    </row>
    <row r="121" spans="1:16" s="33" customFormat="1" ht="21" customHeight="1">
      <c r="A121" s="30">
        <v>3</v>
      </c>
      <c r="B121" s="68" t="s">
        <v>147</v>
      </c>
      <c r="C121" s="109">
        <f>SUM(D121:O121)</f>
        <v>720000</v>
      </c>
      <c r="D121" s="110"/>
      <c r="E121" s="110"/>
      <c r="F121" s="110"/>
      <c r="G121" s="110"/>
      <c r="H121" s="110"/>
      <c r="I121" s="110"/>
      <c r="J121" s="110">
        <v>180000</v>
      </c>
      <c r="K121" s="110"/>
      <c r="L121" s="110"/>
      <c r="M121" s="110">
        <v>180000</v>
      </c>
      <c r="N121" s="110">
        <v>180000</v>
      </c>
      <c r="O121" s="110">
        <v>180000</v>
      </c>
      <c r="P121" s="110">
        <v>450000</v>
      </c>
    </row>
    <row r="122" spans="1:16" s="15" customFormat="1" ht="21" customHeight="1">
      <c r="A122" s="11" t="s">
        <v>40</v>
      </c>
      <c r="B122" s="104" t="s">
        <v>152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1:16" s="15" customFormat="1" ht="21" customHeight="1">
      <c r="A123" s="11">
        <v>1</v>
      </c>
      <c r="B123" s="5" t="s">
        <v>153</v>
      </c>
      <c r="C123" s="109">
        <f>SUM(D123:O123)</f>
        <v>57330</v>
      </c>
      <c r="D123" s="110"/>
      <c r="E123" s="110"/>
      <c r="F123" s="110"/>
      <c r="G123" s="111">
        <v>42210</v>
      </c>
      <c r="H123" s="110"/>
      <c r="I123" s="110"/>
      <c r="J123" s="110"/>
      <c r="K123" s="110"/>
      <c r="L123" s="110"/>
      <c r="M123" s="110"/>
      <c r="N123" s="110"/>
      <c r="O123" s="110">
        <v>15120</v>
      </c>
      <c r="P123" s="110">
        <v>25000</v>
      </c>
    </row>
    <row r="124" spans="1:16" s="15" customFormat="1" ht="21" customHeight="1">
      <c r="A124" s="11">
        <v>1</v>
      </c>
      <c r="B124" s="78" t="s">
        <v>158</v>
      </c>
      <c r="C124" s="109">
        <f>SUM(D124:O124)</f>
        <v>777138</v>
      </c>
      <c r="D124" s="109">
        <v>120023</v>
      </c>
      <c r="E124" s="109"/>
      <c r="F124" s="109"/>
      <c r="G124" s="109">
        <v>334269</v>
      </c>
      <c r="H124" s="109"/>
      <c r="I124" s="109"/>
      <c r="J124" s="109">
        <v>111423</v>
      </c>
      <c r="K124" s="109"/>
      <c r="L124" s="109"/>
      <c r="M124" s="109"/>
      <c r="N124" s="109">
        <v>111423</v>
      </c>
      <c r="O124" s="109">
        <v>100000</v>
      </c>
      <c r="P124" s="109">
        <f>200%*1300*4*9</f>
        <v>93600</v>
      </c>
    </row>
    <row r="125" spans="1:16" s="15" customFormat="1" ht="21" customHeight="1">
      <c r="A125" s="11">
        <v>2</v>
      </c>
      <c r="B125" s="78" t="s">
        <v>157</v>
      </c>
      <c r="C125" s="109">
        <f>SUM(D125:O125)</f>
        <v>1122829.5</v>
      </c>
      <c r="D125" s="109">
        <f>1*((2.34*1300*70%*2)+(2.34+0.7+0.3+0.45)*1300+(2.34+0.45)*1300*22.5%)*12</f>
        <v>120022.5</v>
      </c>
      <c r="E125" s="109"/>
      <c r="F125" s="109"/>
      <c r="G125" s="109">
        <f>8*((2.34*1300*70%*2)+(2.34+0.7+0.3)*1300+(2.34)*1300*22.5%)*12</f>
        <v>891384</v>
      </c>
      <c r="H125" s="109"/>
      <c r="I125" s="109"/>
      <c r="J125" s="109">
        <f>1*((2.34*1300*70%*2)+(2.34+0.7+0.3)*1300+(2.34)*1300*22.5%)*12</f>
        <v>111423</v>
      </c>
      <c r="K125" s="109"/>
      <c r="L125" s="109"/>
      <c r="M125" s="109"/>
      <c r="N125" s="109"/>
      <c r="O125" s="109"/>
      <c r="P125" s="109">
        <f>200%*1300*5*9</f>
        <v>117000</v>
      </c>
    </row>
    <row r="126" spans="1:16" s="15" customFormat="1" ht="21" customHeight="1">
      <c r="A126" s="11">
        <v>3</v>
      </c>
      <c r="B126" s="40" t="s">
        <v>165</v>
      </c>
      <c r="C126" s="109">
        <f>SUM(D126:O126)</f>
        <v>702423</v>
      </c>
      <c r="D126" s="109"/>
      <c r="E126" s="109"/>
      <c r="F126" s="109"/>
      <c r="G126" s="109">
        <v>495000</v>
      </c>
      <c r="H126" s="109"/>
      <c r="I126" s="109">
        <v>96000</v>
      </c>
      <c r="J126" s="109">
        <f>1*((2.34*1300*70%*2)+(2.34+0.7+0.3)*1300+(2.34)*1300*22.5%)*12</f>
        <v>111423</v>
      </c>
      <c r="K126" s="109"/>
      <c r="L126" s="109"/>
      <c r="M126" s="109"/>
      <c r="N126" s="109"/>
      <c r="O126" s="109"/>
      <c r="P126" s="109">
        <f>200%*1300*2*9</f>
        <v>46800</v>
      </c>
    </row>
    <row r="127" spans="1:16" s="15" customFormat="1" ht="21" customHeight="1">
      <c r="A127" s="11" t="s">
        <v>41</v>
      </c>
      <c r="B127" s="104" t="s">
        <v>180</v>
      </c>
      <c r="C127" s="111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1:16" s="15" customFormat="1" ht="21.75" customHeight="1">
      <c r="A128" s="24">
        <v>1</v>
      </c>
      <c r="B128" s="40" t="s">
        <v>173</v>
      </c>
      <c r="C128" s="109">
        <f aca="true" t="shared" si="34" ref="C128:C136">SUM(D128:O128)</f>
        <v>168000</v>
      </c>
      <c r="D128" s="110"/>
      <c r="E128" s="110"/>
      <c r="F128" s="110"/>
      <c r="G128" s="110">
        <v>168000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/>
    </row>
    <row r="129" spans="1:16" s="15" customFormat="1" ht="21.75" customHeight="1">
      <c r="A129" s="105">
        <v>2</v>
      </c>
      <c r="B129" s="106" t="s">
        <v>185</v>
      </c>
      <c r="C129" s="109">
        <f t="shared" si="34"/>
        <v>5922572</v>
      </c>
      <c r="D129" s="115">
        <v>644655</v>
      </c>
      <c r="E129" s="115"/>
      <c r="F129" s="115"/>
      <c r="G129" s="115">
        <v>4147354</v>
      </c>
      <c r="H129" s="115"/>
      <c r="I129" s="115"/>
      <c r="J129" s="115">
        <v>518419</v>
      </c>
      <c r="K129" s="115"/>
      <c r="L129" s="115"/>
      <c r="M129" s="115"/>
      <c r="N129" s="115">
        <v>306072</v>
      </c>
      <c r="O129" s="115">
        <v>306072</v>
      </c>
      <c r="P129" s="115">
        <v>624000</v>
      </c>
    </row>
    <row r="130" spans="1:16" s="15" customFormat="1" ht="21.75" customHeight="1">
      <c r="A130" s="24">
        <v>3</v>
      </c>
      <c r="B130" s="106" t="s">
        <v>186</v>
      </c>
      <c r="C130" s="109">
        <f t="shared" si="34"/>
        <v>194000</v>
      </c>
      <c r="D130" s="115">
        <v>16000</v>
      </c>
      <c r="E130" s="115"/>
      <c r="F130" s="115">
        <v>99000</v>
      </c>
      <c r="G130" s="115">
        <v>36000</v>
      </c>
      <c r="H130" s="115">
        <v>9000</v>
      </c>
      <c r="I130" s="115"/>
      <c r="J130" s="115"/>
      <c r="K130" s="115"/>
      <c r="L130" s="115"/>
      <c r="M130" s="115"/>
      <c r="N130" s="115">
        <v>17000</v>
      </c>
      <c r="O130" s="115">
        <v>17000</v>
      </c>
      <c r="P130" s="115">
        <v>11000</v>
      </c>
    </row>
    <row r="131" spans="1:16" s="15" customFormat="1" ht="21.75" customHeight="1">
      <c r="A131" s="105">
        <v>4</v>
      </c>
      <c r="B131" s="106" t="s">
        <v>187</v>
      </c>
      <c r="C131" s="109">
        <f t="shared" si="34"/>
        <v>1278890</v>
      </c>
      <c r="D131" s="116">
        <v>178022</v>
      </c>
      <c r="E131" s="115"/>
      <c r="F131" s="116">
        <v>650200</v>
      </c>
      <c r="G131" s="115"/>
      <c r="H131" s="115"/>
      <c r="I131" s="116">
        <v>112667</v>
      </c>
      <c r="J131" s="115"/>
      <c r="K131" s="115"/>
      <c r="L131" s="115"/>
      <c r="M131" s="116">
        <v>112667</v>
      </c>
      <c r="N131" s="116">
        <v>112667</v>
      </c>
      <c r="O131" s="116">
        <v>112667</v>
      </c>
      <c r="P131" s="116">
        <v>126000</v>
      </c>
    </row>
    <row r="132" spans="1:16" s="15" customFormat="1" ht="21.75" customHeight="1">
      <c r="A132" s="24">
        <v>5</v>
      </c>
      <c r="B132" s="106" t="s">
        <v>188</v>
      </c>
      <c r="C132" s="109">
        <f t="shared" si="34"/>
        <v>81000</v>
      </c>
      <c r="D132" s="116">
        <v>15000</v>
      </c>
      <c r="E132" s="115"/>
      <c r="F132" s="116">
        <f>8000*4</f>
        <v>32000</v>
      </c>
      <c r="G132" s="116"/>
      <c r="H132" s="115"/>
      <c r="I132" s="115"/>
      <c r="J132" s="115"/>
      <c r="K132" s="115"/>
      <c r="L132" s="115"/>
      <c r="M132" s="115"/>
      <c r="N132" s="116">
        <v>17000</v>
      </c>
      <c r="O132" s="116">
        <v>17000</v>
      </c>
      <c r="P132" s="116">
        <v>11000</v>
      </c>
    </row>
    <row r="133" spans="1:16" s="15" customFormat="1" ht="21.75" customHeight="1">
      <c r="A133" s="105">
        <v>6</v>
      </c>
      <c r="B133" s="106" t="s">
        <v>189</v>
      </c>
      <c r="C133" s="109">
        <f t="shared" si="34"/>
        <v>22763</v>
      </c>
      <c r="D133" s="115"/>
      <c r="E133" s="115"/>
      <c r="F133" s="115"/>
      <c r="G133" s="116">
        <f>(2.34+2.34*0.7*2+0.7)*1300</f>
        <v>8210.8</v>
      </c>
      <c r="H133" s="116"/>
      <c r="I133" s="116">
        <f>(2.34+2.34*0.7+0.7+0.2)*1300</f>
        <v>6341.400000000001</v>
      </c>
      <c r="J133" s="116">
        <f>(2.34+2.34*0.7*2+0.7)*1300</f>
        <v>8210.8</v>
      </c>
      <c r="K133" s="115"/>
      <c r="L133" s="115"/>
      <c r="M133" s="115"/>
      <c r="N133" s="115"/>
      <c r="O133" s="115"/>
      <c r="P133" s="115">
        <f>1300*9*200%</f>
        <v>23400</v>
      </c>
    </row>
    <row r="134" spans="1:16" s="15" customFormat="1" ht="21.75" customHeight="1">
      <c r="A134" s="24">
        <v>7</v>
      </c>
      <c r="B134" s="106" t="s">
        <v>190</v>
      </c>
      <c r="C134" s="109">
        <f t="shared" si="34"/>
        <v>124360</v>
      </c>
      <c r="D134" s="115">
        <v>2680</v>
      </c>
      <c r="E134" s="115">
        <v>0</v>
      </c>
      <c r="F134" s="115">
        <v>74880</v>
      </c>
      <c r="G134" s="115">
        <v>23400</v>
      </c>
      <c r="H134" s="115">
        <v>4680</v>
      </c>
      <c r="I134" s="115">
        <v>0</v>
      </c>
      <c r="J134" s="115">
        <v>4680</v>
      </c>
      <c r="K134" s="115">
        <v>0</v>
      </c>
      <c r="L134" s="115">
        <v>0</v>
      </c>
      <c r="M134" s="115">
        <v>4680</v>
      </c>
      <c r="N134" s="115">
        <v>4680</v>
      </c>
      <c r="O134" s="115">
        <v>4680</v>
      </c>
      <c r="P134" s="115">
        <v>46800</v>
      </c>
    </row>
    <row r="135" spans="1:16" s="15" customFormat="1" ht="21.75" customHeight="1">
      <c r="A135" s="105">
        <v>8</v>
      </c>
      <c r="B135" s="106" t="s">
        <v>191</v>
      </c>
      <c r="C135" s="109">
        <f t="shared" si="34"/>
        <v>854880</v>
      </c>
      <c r="D135" s="115">
        <v>37440</v>
      </c>
      <c r="E135" s="115">
        <v>18720</v>
      </c>
      <c r="F135" s="115"/>
      <c r="G135" s="115">
        <v>318720</v>
      </c>
      <c r="H135" s="115"/>
      <c r="I135" s="115"/>
      <c r="J135" s="115"/>
      <c r="K135" s="115"/>
      <c r="L135" s="115"/>
      <c r="M135" s="115">
        <v>240000</v>
      </c>
      <c r="N135" s="115"/>
      <c r="O135" s="115">
        <v>240000</v>
      </c>
      <c r="P135" s="115">
        <f>720000-D135-E135-G135</f>
        <v>345120</v>
      </c>
    </row>
    <row r="136" spans="1:16" s="15" customFormat="1" ht="21.75" customHeight="1">
      <c r="A136" s="24">
        <v>9</v>
      </c>
      <c r="B136" s="106" t="s">
        <v>192</v>
      </c>
      <c r="C136" s="109">
        <f t="shared" si="34"/>
        <v>216000</v>
      </c>
      <c r="D136" s="115">
        <v>144000</v>
      </c>
      <c r="E136" s="115"/>
      <c r="F136" s="115"/>
      <c r="G136" s="115"/>
      <c r="H136" s="115"/>
      <c r="I136" s="115"/>
      <c r="J136" s="115"/>
      <c r="K136" s="115"/>
      <c r="L136" s="115"/>
      <c r="M136" s="115">
        <v>72000</v>
      </c>
      <c r="N136" s="115"/>
      <c r="O136" s="115"/>
      <c r="P136" s="115">
        <v>284000</v>
      </c>
    </row>
    <row r="137" spans="1:16" s="15" customFormat="1" ht="21.75" customHeight="1">
      <c r="A137" s="107"/>
      <c r="B137" s="108" t="s">
        <v>112</v>
      </c>
      <c r="C137" s="114">
        <f>SUM(C112:C136)</f>
        <v>17577849.5</v>
      </c>
      <c r="D137" s="114">
        <f aca="true" t="shared" si="35" ref="D137:P137">SUM(D112:D136)</f>
        <v>1353442.5</v>
      </c>
      <c r="E137" s="114">
        <f t="shared" si="35"/>
        <v>443701</v>
      </c>
      <c r="F137" s="114">
        <f t="shared" si="35"/>
        <v>2104080</v>
      </c>
      <c r="G137" s="114">
        <f t="shared" si="35"/>
        <v>8067241.8</v>
      </c>
      <c r="H137" s="114">
        <f t="shared" si="35"/>
        <v>449280</v>
      </c>
      <c r="I137" s="114">
        <f t="shared" si="35"/>
        <v>680989.4</v>
      </c>
      <c r="J137" s="114">
        <f t="shared" si="35"/>
        <v>1313178.8</v>
      </c>
      <c r="K137" s="114">
        <f t="shared" si="35"/>
        <v>0</v>
      </c>
      <c r="L137" s="114">
        <f t="shared" si="35"/>
        <v>304104</v>
      </c>
      <c r="M137" s="114">
        <f t="shared" si="35"/>
        <v>852851</v>
      </c>
      <c r="N137" s="114">
        <f t="shared" si="35"/>
        <v>748842</v>
      </c>
      <c r="O137" s="114">
        <f t="shared" si="35"/>
        <v>1260139</v>
      </c>
      <c r="P137" s="114">
        <f t="shared" si="35"/>
        <v>3615954</v>
      </c>
    </row>
  </sheetData>
  <sheetProtection/>
  <mergeCells count="47">
    <mergeCell ref="B73:B74"/>
    <mergeCell ref="C73:C74"/>
    <mergeCell ref="D73:D74"/>
    <mergeCell ref="E73:E74"/>
    <mergeCell ref="F73:F74"/>
    <mergeCell ref="G73:G74"/>
    <mergeCell ref="A25:A26"/>
    <mergeCell ref="B25:B26"/>
    <mergeCell ref="C25:C26"/>
    <mergeCell ref="D25:D26"/>
    <mergeCell ref="E25:E26"/>
    <mergeCell ref="F25:F26"/>
    <mergeCell ref="A6:A7"/>
    <mergeCell ref="B6:B7"/>
    <mergeCell ref="C6:C7"/>
    <mergeCell ref="D6:D7"/>
    <mergeCell ref="E6:E7"/>
    <mergeCell ref="F6:F7"/>
    <mergeCell ref="A109:A110"/>
    <mergeCell ref="A54:A55"/>
    <mergeCell ref="B54:B55"/>
    <mergeCell ref="H109:O109"/>
    <mergeCell ref="B109:B110"/>
    <mergeCell ref="C109:C110"/>
    <mergeCell ref="H54:O54"/>
    <mergeCell ref="D109:D110"/>
    <mergeCell ref="E109:E110"/>
    <mergeCell ref="A73:A74"/>
    <mergeCell ref="G6:G7"/>
    <mergeCell ref="P54:P55"/>
    <mergeCell ref="H6:O6"/>
    <mergeCell ref="P6:P7"/>
    <mergeCell ref="B1:N1"/>
    <mergeCell ref="B2:N2"/>
    <mergeCell ref="G25:G26"/>
    <mergeCell ref="H25:O25"/>
    <mergeCell ref="P25:P26"/>
    <mergeCell ref="P109:P110"/>
    <mergeCell ref="C54:C55"/>
    <mergeCell ref="D54:D55"/>
    <mergeCell ref="F109:F110"/>
    <mergeCell ref="G109:G110"/>
    <mergeCell ref="E54:E55"/>
    <mergeCell ref="F54:F55"/>
    <mergeCell ref="G54:G55"/>
    <mergeCell ref="H73:O73"/>
    <mergeCell ref="P73:P74"/>
  </mergeCells>
  <printOptions/>
  <pageMargins left="0.5" right="0.5" top="0.75" bottom="0.75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28">
      <selection activeCell="E34" sqref="E34"/>
    </sheetView>
  </sheetViews>
  <sheetFormatPr defaultColWidth="9.140625" defaultRowHeight="12.75"/>
  <cols>
    <col min="1" max="1" width="35.421875" style="45" customWidth="1"/>
    <col min="2" max="2" width="6.8515625" style="45" customWidth="1"/>
    <col min="3" max="3" width="8.28125" style="45" customWidth="1"/>
    <col min="4" max="4" width="7.28125" style="45" customWidth="1"/>
    <col min="5" max="5" width="8.00390625" style="45" customWidth="1"/>
    <col min="6" max="6" width="7.8515625" style="45" customWidth="1"/>
    <col min="7" max="9" width="8.140625" style="45" customWidth="1"/>
    <col min="10" max="10" width="7.28125" style="45" customWidth="1"/>
    <col min="11" max="11" width="7.8515625" style="45" customWidth="1"/>
    <col min="12" max="12" width="7.00390625" style="45" customWidth="1"/>
    <col min="13" max="13" width="7.421875" style="45" customWidth="1"/>
    <col min="14" max="14" width="7.28125" style="45" customWidth="1"/>
    <col min="15" max="15" width="7.8515625" style="45" customWidth="1"/>
    <col min="16" max="16" width="8.7109375" style="45" customWidth="1"/>
    <col min="17" max="17" width="8.00390625" style="45" customWidth="1"/>
    <col min="18" max="18" width="10.140625" style="45" customWidth="1"/>
    <col min="19" max="19" width="9.140625" style="45" customWidth="1"/>
    <col min="20" max="20" width="9.8515625" style="45" bestFit="1" customWidth="1"/>
    <col min="21" max="16384" width="9.140625" style="45" customWidth="1"/>
  </cols>
  <sheetData>
    <row r="1" spans="1:18" ht="15.75">
      <c r="A1" s="238" t="s">
        <v>257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ht="12.75">
      <c r="A2" s="46"/>
    </row>
    <row r="3" ht="12.75">
      <c r="A3" s="46"/>
    </row>
    <row r="4" spans="1:18" ht="101.25" customHeight="1">
      <c r="A4" s="47" t="s">
        <v>0</v>
      </c>
      <c r="B4" s="47" t="s">
        <v>93</v>
      </c>
      <c r="C4" s="47" t="s">
        <v>91</v>
      </c>
      <c r="D4" s="47" t="s">
        <v>94</v>
      </c>
      <c r="E4" s="47" t="s">
        <v>91</v>
      </c>
      <c r="F4" s="47" t="s">
        <v>95</v>
      </c>
      <c r="G4" s="47" t="s">
        <v>91</v>
      </c>
      <c r="H4" s="47" t="s">
        <v>96</v>
      </c>
      <c r="I4" s="47" t="s">
        <v>91</v>
      </c>
      <c r="J4" s="47" t="s">
        <v>259</v>
      </c>
      <c r="K4" s="47" t="s">
        <v>91</v>
      </c>
      <c r="L4" s="47" t="s">
        <v>97</v>
      </c>
      <c r="M4" s="47" t="s">
        <v>91</v>
      </c>
      <c r="N4" s="47" t="s">
        <v>98</v>
      </c>
      <c r="O4" s="47" t="s">
        <v>91</v>
      </c>
      <c r="P4" s="47" t="s">
        <v>99</v>
      </c>
      <c r="Q4" s="47" t="s">
        <v>91</v>
      </c>
      <c r="R4" s="47" t="s">
        <v>100</v>
      </c>
    </row>
    <row r="5" spans="1:18" ht="33.7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 t="s">
        <v>92</v>
      </c>
    </row>
    <row r="6" spans="1:18" ht="27.75" customHeight="1">
      <c r="A6" s="100" t="s">
        <v>149</v>
      </c>
      <c r="B6" s="179">
        <v>3</v>
      </c>
      <c r="C6" s="178">
        <v>1500</v>
      </c>
      <c r="D6" s="179">
        <v>2</v>
      </c>
      <c r="E6" s="178">
        <v>800</v>
      </c>
      <c r="F6" s="179"/>
      <c r="G6" s="178"/>
      <c r="H6" s="179"/>
      <c r="I6" s="178"/>
      <c r="J6" s="179">
        <v>12</v>
      </c>
      <c r="K6" s="180">
        <f>J6*200</f>
        <v>2400</v>
      </c>
      <c r="L6" s="179">
        <v>1</v>
      </c>
      <c r="M6" s="178">
        <v>300</v>
      </c>
      <c r="N6" s="179">
        <v>1</v>
      </c>
      <c r="O6" s="178">
        <v>400</v>
      </c>
      <c r="P6" s="179">
        <v>2</v>
      </c>
      <c r="Q6" s="217">
        <f>P6*350</f>
        <v>700</v>
      </c>
      <c r="R6" s="178">
        <f>(C6+E6+G6+I6+K6+M6+O6+Q6)</f>
        <v>6100</v>
      </c>
    </row>
    <row r="7" spans="1:18" ht="27.75" customHeight="1">
      <c r="A7" s="86" t="s">
        <v>131</v>
      </c>
      <c r="B7" s="179">
        <f>SUM(B8:B11)</f>
        <v>10</v>
      </c>
      <c r="C7" s="178">
        <f>SUM(C8:C11)</f>
        <v>5000</v>
      </c>
      <c r="D7" s="179">
        <f aca="true" t="shared" si="0" ref="D7:Q7">SUM(D8:D11)</f>
        <v>6</v>
      </c>
      <c r="E7" s="178">
        <f t="shared" si="0"/>
        <v>2400</v>
      </c>
      <c r="F7" s="179">
        <f t="shared" si="0"/>
        <v>3</v>
      </c>
      <c r="G7" s="178">
        <f t="shared" si="0"/>
        <v>900</v>
      </c>
      <c r="H7" s="179">
        <f t="shared" si="0"/>
        <v>0</v>
      </c>
      <c r="I7" s="178">
        <f t="shared" si="0"/>
        <v>0</v>
      </c>
      <c r="J7" s="179">
        <f t="shared" si="0"/>
        <v>24</v>
      </c>
      <c r="K7" s="178">
        <f t="shared" si="0"/>
        <v>4800</v>
      </c>
      <c r="L7" s="179">
        <f t="shared" si="0"/>
        <v>7</v>
      </c>
      <c r="M7" s="178">
        <f t="shared" si="0"/>
        <v>2100</v>
      </c>
      <c r="N7" s="179">
        <f t="shared" si="0"/>
        <v>7</v>
      </c>
      <c r="O7" s="178">
        <f t="shared" si="0"/>
        <v>2800</v>
      </c>
      <c r="P7" s="179">
        <f t="shared" si="0"/>
        <v>7</v>
      </c>
      <c r="Q7" s="178">
        <f t="shared" si="0"/>
        <v>2450</v>
      </c>
      <c r="R7" s="178">
        <f>(C7+E7+G7+I7+K7+M7+O7+Q7)</f>
        <v>20450</v>
      </c>
    </row>
    <row r="8" spans="1:18" ht="27.75" customHeight="1">
      <c r="A8" s="68" t="s">
        <v>138</v>
      </c>
      <c r="B8" s="181"/>
      <c r="C8" s="180"/>
      <c r="D8" s="181"/>
      <c r="E8" s="180">
        <f>D8*400</f>
        <v>0</v>
      </c>
      <c r="F8" s="181"/>
      <c r="G8" s="180">
        <f>F8*300</f>
        <v>0</v>
      </c>
      <c r="H8" s="181"/>
      <c r="I8" s="180"/>
      <c r="J8" s="181">
        <v>0</v>
      </c>
      <c r="K8" s="180">
        <f>J8*200</f>
        <v>0</v>
      </c>
      <c r="L8" s="181">
        <v>2</v>
      </c>
      <c r="M8" s="180">
        <f>L8*300</f>
        <v>600</v>
      </c>
      <c r="N8" s="181">
        <v>2</v>
      </c>
      <c r="O8" s="180">
        <f>N8*400</f>
        <v>800</v>
      </c>
      <c r="P8" s="181">
        <v>2</v>
      </c>
      <c r="Q8" s="180">
        <f>P8*350</f>
        <v>700</v>
      </c>
      <c r="R8" s="182">
        <f aca="true" t="shared" si="1" ref="R8:R15">(C8+E8+G8+I8+K8+M8+O8+Q8)</f>
        <v>2100</v>
      </c>
    </row>
    <row r="9" spans="1:18" ht="27.75" customHeight="1">
      <c r="A9" s="5" t="s">
        <v>245</v>
      </c>
      <c r="B9" s="181">
        <v>4</v>
      </c>
      <c r="C9" s="180">
        <f>B9*500</f>
        <v>2000</v>
      </c>
      <c r="D9" s="181">
        <v>2</v>
      </c>
      <c r="E9" s="180">
        <f>D9*400</f>
        <v>800</v>
      </c>
      <c r="F9" s="181">
        <v>1</v>
      </c>
      <c r="G9" s="180">
        <f>F9*300</f>
        <v>300</v>
      </c>
      <c r="H9" s="181"/>
      <c r="I9" s="180"/>
      <c r="J9" s="181">
        <v>8</v>
      </c>
      <c r="K9" s="180">
        <f>J9*200</f>
        <v>1600</v>
      </c>
      <c r="L9" s="181">
        <v>2</v>
      </c>
      <c r="M9" s="180">
        <f>L9*300</f>
        <v>600</v>
      </c>
      <c r="N9" s="181">
        <v>2</v>
      </c>
      <c r="O9" s="180">
        <f>N9*400</f>
        <v>800</v>
      </c>
      <c r="P9" s="181">
        <v>2</v>
      </c>
      <c r="Q9" s="180">
        <f>P9*350</f>
        <v>700</v>
      </c>
      <c r="R9" s="182">
        <f t="shared" si="1"/>
        <v>6800</v>
      </c>
    </row>
    <row r="10" spans="1:18" ht="27.75" customHeight="1">
      <c r="A10" s="5" t="s">
        <v>246</v>
      </c>
      <c r="B10" s="181">
        <v>2</v>
      </c>
      <c r="C10" s="180">
        <f>B10*500</f>
        <v>1000</v>
      </c>
      <c r="D10" s="183">
        <v>2</v>
      </c>
      <c r="E10" s="180">
        <f>D10*400</f>
        <v>800</v>
      </c>
      <c r="F10" s="183">
        <v>1</v>
      </c>
      <c r="G10" s="180">
        <f>F10*300</f>
        <v>300</v>
      </c>
      <c r="H10" s="183"/>
      <c r="I10" s="180"/>
      <c r="J10" s="183">
        <v>8</v>
      </c>
      <c r="K10" s="180">
        <f>J10*200</f>
        <v>1600</v>
      </c>
      <c r="L10" s="181">
        <v>1</v>
      </c>
      <c r="M10" s="180">
        <f>L10*300</f>
        <v>300</v>
      </c>
      <c r="N10" s="183">
        <v>1</v>
      </c>
      <c r="O10" s="180">
        <f>N10*400</f>
        <v>400</v>
      </c>
      <c r="P10" s="183">
        <v>1</v>
      </c>
      <c r="Q10" s="180">
        <f>P10*350</f>
        <v>350</v>
      </c>
      <c r="R10" s="182">
        <f t="shared" si="1"/>
        <v>4750</v>
      </c>
    </row>
    <row r="11" spans="1:18" ht="27.75" customHeight="1">
      <c r="A11" s="5" t="s">
        <v>247</v>
      </c>
      <c r="B11" s="181">
        <v>4</v>
      </c>
      <c r="C11" s="180">
        <f>B11*500</f>
        <v>2000</v>
      </c>
      <c r="D11" s="181">
        <v>2</v>
      </c>
      <c r="E11" s="180">
        <f>D11*400</f>
        <v>800</v>
      </c>
      <c r="F11" s="181">
        <v>1</v>
      </c>
      <c r="G11" s="180">
        <f>F11*300</f>
        <v>300</v>
      </c>
      <c r="H11" s="181"/>
      <c r="I11" s="180"/>
      <c r="J11" s="181">
        <v>8</v>
      </c>
      <c r="K11" s="180">
        <f>J11*200</f>
        <v>1600</v>
      </c>
      <c r="L11" s="181">
        <v>2</v>
      </c>
      <c r="M11" s="180">
        <f>L11*300</f>
        <v>600</v>
      </c>
      <c r="N11" s="181">
        <v>2</v>
      </c>
      <c r="O11" s="180">
        <f>N11*400</f>
        <v>800</v>
      </c>
      <c r="P11" s="181">
        <v>2</v>
      </c>
      <c r="Q11" s="180">
        <f>P11*350</f>
        <v>700</v>
      </c>
      <c r="R11" s="182">
        <f t="shared" si="1"/>
        <v>6800</v>
      </c>
    </row>
    <row r="12" spans="1:18" ht="27.75" customHeight="1">
      <c r="A12" s="86" t="s">
        <v>148</v>
      </c>
      <c r="B12" s="179">
        <f>SUM(B13:B15)</f>
        <v>5</v>
      </c>
      <c r="C12" s="178">
        <f>SUM(C13:C15)</f>
        <v>2000</v>
      </c>
      <c r="D12" s="179">
        <f aca="true" t="shared" si="2" ref="D12:Q12">SUM(D13:D15)</f>
        <v>3</v>
      </c>
      <c r="E12" s="178">
        <f t="shared" si="2"/>
        <v>1200</v>
      </c>
      <c r="F12" s="179">
        <f t="shared" si="2"/>
        <v>5</v>
      </c>
      <c r="G12" s="178">
        <f t="shared" si="2"/>
        <v>1500</v>
      </c>
      <c r="H12" s="179">
        <f t="shared" si="2"/>
        <v>1</v>
      </c>
      <c r="I12" s="178">
        <f t="shared" si="2"/>
        <v>600</v>
      </c>
      <c r="J12" s="179">
        <f t="shared" si="2"/>
        <v>20</v>
      </c>
      <c r="K12" s="178">
        <f t="shared" si="2"/>
        <v>4000</v>
      </c>
      <c r="L12" s="179">
        <f t="shared" si="2"/>
        <v>3</v>
      </c>
      <c r="M12" s="178">
        <f t="shared" si="2"/>
        <v>900</v>
      </c>
      <c r="N12" s="179">
        <f t="shared" si="2"/>
        <v>3</v>
      </c>
      <c r="O12" s="178">
        <f t="shared" si="2"/>
        <v>1200</v>
      </c>
      <c r="P12" s="179">
        <f t="shared" si="2"/>
        <v>2</v>
      </c>
      <c r="Q12" s="178">
        <f t="shared" si="2"/>
        <v>700</v>
      </c>
      <c r="R12" s="178">
        <f>(C12+E12+G12+I12+K12+M12+O12+Q12)</f>
        <v>12100</v>
      </c>
    </row>
    <row r="13" spans="1:18" ht="27.75" customHeight="1">
      <c r="A13" s="69" t="s">
        <v>142</v>
      </c>
      <c r="B13" s="181"/>
      <c r="C13" s="180"/>
      <c r="D13" s="181"/>
      <c r="E13" s="180">
        <f>D13*400</f>
        <v>0</v>
      </c>
      <c r="F13" s="181">
        <v>1</v>
      </c>
      <c r="G13" s="180">
        <f>F13*300</f>
        <v>300</v>
      </c>
      <c r="H13" s="181">
        <v>0</v>
      </c>
      <c r="I13" s="180">
        <f>H13*600</f>
        <v>0</v>
      </c>
      <c r="J13" s="181"/>
      <c r="K13" s="180">
        <f>J13*200</f>
        <v>0</v>
      </c>
      <c r="L13" s="181">
        <v>1</v>
      </c>
      <c r="M13" s="180">
        <f>L13*300</f>
        <v>300</v>
      </c>
      <c r="N13" s="181">
        <v>1</v>
      </c>
      <c r="O13" s="180">
        <f>N13*400</f>
        <v>400</v>
      </c>
      <c r="P13" s="181"/>
      <c r="Q13" s="180">
        <f>P13*350</f>
        <v>0</v>
      </c>
      <c r="R13" s="182">
        <f t="shared" si="1"/>
        <v>1000</v>
      </c>
    </row>
    <row r="14" spans="1:18" ht="27.75" customHeight="1">
      <c r="A14" s="102" t="s">
        <v>248</v>
      </c>
      <c r="B14" s="181">
        <v>2</v>
      </c>
      <c r="C14" s="182">
        <v>500</v>
      </c>
      <c r="D14" s="181">
        <v>1</v>
      </c>
      <c r="E14" s="180">
        <f>D14*400</f>
        <v>400</v>
      </c>
      <c r="F14" s="181">
        <v>2</v>
      </c>
      <c r="G14" s="180">
        <f>F14*300</f>
        <v>600</v>
      </c>
      <c r="H14" s="181">
        <v>1</v>
      </c>
      <c r="I14" s="180">
        <f>H14*600</f>
        <v>600</v>
      </c>
      <c r="J14" s="181">
        <v>8</v>
      </c>
      <c r="K14" s="180">
        <f>J14*200</f>
        <v>1600</v>
      </c>
      <c r="L14" s="181">
        <v>1</v>
      </c>
      <c r="M14" s="180">
        <f>L14*300</f>
        <v>300</v>
      </c>
      <c r="N14" s="181">
        <v>1</v>
      </c>
      <c r="O14" s="180">
        <f>N14*400</f>
        <v>400</v>
      </c>
      <c r="P14" s="181">
        <v>1</v>
      </c>
      <c r="Q14" s="180">
        <f>P14*350</f>
        <v>350</v>
      </c>
      <c r="R14" s="182">
        <f t="shared" si="1"/>
        <v>4750</v>
      </c>
    </row>
    <row r="15" spans="1:18" ht="27.75" customHeight="1">
      <c r="A15" s="68" t="s">
        <v>249</v>
      </c>
      <c r="B15" s="181">
        <v>3</v>
      </c>
      <c r="C15" s="180">
        <f>B15*500</f>
        <v>1500</v>
      </c>
      <c r="D15" s="181">
        <v>2</v>
      </c>
      <c r="E15" s="180">
        <f>D15*400</f>
        <v>800</v>
      </c>
      <c r="F15" s="181">
        <v>2</v>
      </c>
      <c r="G15" s="180">
        <f>F15*300</f>
        <v>600</v>
      </c>
      <c r="H15" s="181"/>
      <c r="I15" s="180"/>
      <c r="J15" s="181">
        <v>12</v>
      </c>
      <c r="K15" s="180">
        <f>J15*200</f>
        <v>2400</v>
      </c>
      <c r="L15" s="181">
        <v>1</v>
      </c>
      <c r="M15" s="180">
        <f>L15*300</f>
        <v>300</v>
      </c>
      <c r="N15" s="181">
        <v>1</v>
      </c>
      <c r="O15" s="180">
        <f>N15*400</f>
        <v>400</v>
      </c>
      <c r="P15" s="181">
        <v>1</v>
      </c>
      <c r="Q15" s="180">
        <f>P15*350</f>
        <v>350</v>
      </c>
      <c r="R15" s="182">
        <f t="shared" si="1"/>
        <v>6350</v>
      </c>
    </row>
    <row r="16" spans="1:18" ht="27.75" customHeight="1">
      <c r="A16" s="100" t="s">
        <v>152</v>
      </c>
      <c r="B16" s="179">
        <f>SUM(B17:B25)</f>
        <v>26</v>
      </c>
      <c r="C16" s="179">
        <f aca="true" t="shared" si="3" ref="C16:R16">SUM(C17:C25)</f>
        <v>13000</v>
      </c>
      <c r="D16" s="179">
        <f t="shared" si="3"/>
        <v>10</v>
      </c>
      <c r="E16" s="179">
        <f t="shared" si="3"/>
        <v>4000</v>
      </c>
      <c r="F16" s="179">
        <f t="shared" si="3"/>
        <v>15</v>
      </c>
      <c r="G16" s="179">
        <f t="shared" si="3"/>
        <v>4500</v>
      </c>
      <c r="H16" s="179">
        <f t="shared" si="3"/>
        <v>30</v>
      </c>
      <c r="I16" s="179">
        <f t="shared" si="3"/>
        <v>18000</v>
      </c>
      <c r="J16" s="179">
        <f t="shared" si="3"/>
        <v>76</v>
      </c>
      <c r="K16" s="179">
        <f t="shared" si="3"/>
        <v>15200</v>
      </c>
      <c r="L16" s="179">
        <f t="shared" si="3"/>
        <v>8</v>
      </c>
      <c r="M16" s="179">
        <f t="shared" si="3"/>
        <v>2400</v>
      </c>
      <c r="N16" s="179">
        <f t="shared" si="3"/>
        <v>9</v>
      </c>
      <c r="O16" s="179">
        <f t="shared" si="3"/>
        <v>3600</v>
      </c>
      <c r="P16" s="179">
        <f t="shared" si="3"/>
        <v>13</v>
      </c>
      <c r="Q16" s="179">
        <f t="shared" si="3"/>
        <v>4550</v>
      </c>
      <c r="R16" s="179">
        <f t="shared" si="3"/>
        <v>65250</v>
      </c>
    </row>
    <row r="17" spans="1:18" ht="27.75" customHeight="1">
      <c r="A17" s="5" t="s">
        <v>153</v>
      </c>
      <c r="B17" s="181">
        <v>0</v>
      </c>
      <c r="C17" s="180">
        <f aca="true" t="shared" si="4" ref="C17:C25">B17*500</f>
        <v>0</v>
      </c>
      <c r="D17" s="181"/>
      <c r="E17" s="180">
        <f aca="true" t="shared" si="5" ref="E17:E25">D17*400</f>
        <v>0</v>
      </c>
      <c r="F17" s="181"/>
      <c r="G17" s="180">
        <f aca="true" t="shared" si="6" ref="G17:G25">F17*300</f>
        <v>0</v>
      </c>
      <c r="H17" s="181">
        <v>2</v>
      </c>
      <c r="I17" s="180">
        <f aca="true" t="shared" si="7" ref="I17:I25">H17*600</f>
        <v>1200</v>
      </c>
      <c r="J17" s="181">
        <v>0</v>
      </c>
      <c r="K17" s="180">
        <f aca="true" t="shared" si="8" ref="K17:K25">J17*200</f>
        <v>0</v>
      </c>
      <c r="L17" s="181"/>
      <c r="M17" s="180">
        <f aca="true" t="shared" si="9" ref="M17:M25">L17*300</f>
        <v>0</v>
      </c>
      <c r="N17" s="181"/>
      <c r="O17" s="180">
        <f aca="true" t="shared" si="10" ref="O17:O25">N17*400</f>
        <v>0</v>
      </c>
      <c r="P17" s="181">
        <v>2</v>
      </c>
      <c r="Q17" s="180">
        <f aca="true" t="shared" si="11" ref="Q17:Q25">P17*350</f>
        <v>700</v>
      </c>
      <c r="R17" s="182">
        <f>(C17+E17+G17+I17+K17+M17+O17+Q17)</f>
        <v>1900</v>
      </c>
    </row>
    <row r="18" spans="1:18" ht="27.75" customHeight="1">
      <c r="A18" s="78" t="s">
        <v>158</v>
      </c>
      <c r="B18" s="181">
        <v>8</v>
      </c>
      <c r="C18" s="180">
        <f t="shared" si="4"/>
        <v>4000</v>
      </c>
      <c r="D18" s="181">
        <v>0</v>
      </c>
      <c r="E18" s="180">
        <f t="shared" si="5"/>
        <v>0</v>
      </c>
      <c r="F18" s="181">
        <v>0</v>
      </c>
      <c r="G18" s="180">
        <f t="shared" si="6"/>
        <v>0</v>
      </c>
      <c r="H18" s="181">
        <v>4</v>
      </c>
      <c r="I18" s="180">
        <f t="shared" si="7"/>
        <v>2400</v>
      </c>
      <c r="J18" s="181">
        <v>10</v>
      </c>
      <c r="K18" s="180">
        <f t="shared" si="8"/>
        <v>2000</v>
      </c>
      <c r="L18" s="181">
        <v>1</v>
      </c>
      <c r="M18" s="180">
        <f t="shared" si="9"/>
        <v>300</v>
      </c>
      <c r="N18" s="181">
        <v>1</v>
      </c>
      <c r="O18" s="180">
        <f t="shared" si="10"/>
        <v>400</v>
      </c>
      <c r="P18" s="181">
        <v>2</v>
      </c>
      <c r="Q18" s="180">
        <f t="shared" si="11"/>
        <v>700</v>
      </c>
      <c r="R18" s="182">
        <f aca="true" t="shared" si="12" ref="R18:R35">(C18+E18+G18+I18+K18+M18+O18+Q18)</f>
        <v>9800</v>
      </c>
    </row>
    <row r="19" spans="1:18" ht="27.75" customHeight="1">
      <c r="A19" s="78" t="s">
        <v>157</v>
      </c>
      <c r="B19" s="181"/>
      <c r="C19" s="180">
        <f t="shared" si="4"/>
        <v>0</v>
      </c>
      <c r="D19" s="181">
        <v>3</v>
      </c>
      <c r="E19" s="180">
        <f t="shared" si="5"/>
        <v>1200</v>
      </c>
      <c r="F19" s="181">
        <v>3</v>
      </c>
      <c r="G19" s="180">
        <f t="shared" si="6"/>
        <v>900</v>
      </c>
      <c r="H19" s="181">
        <v>4</v>
      </c>
      <c r="I19" s="180">
        <f t="shared" si="7"/>
        <v>2400</v>
      </c>
      <c r="J19" s="181">
        <v>16</v>
      </c>
      <c r="K19" s="180">
        <f t="shared" si="8"/>
        <v>3200</v>
      </c>
      <c r="L19" s="181">
        <v>1</v>
      </c>
      <c r="M19" s="180">
        <f t="shared" si="9"/>
        <v>300</v>
      </c>
      <c r="N19" s="181">
        <v>2</v>
      </c>
      <c r="O19" s="180">
        <f t="shared" si="10"/>
        <v>800</v>
      </c>
      <c r="P19" s="181">
        <v>1</v>
      </c>
      <c r="Q19" s="180">
        <f t="shared" si="11"/>
        <v>350</v>
      </c>
      <c r="R19" s="182">
        <f t="shared" si="12"/>
        <v>9150</v>
      </c>
    </row>
    <row r="20" spans="1:18" ht="27.75" customHeight="1">
      <c r="A20" s="40" t="s">
        <v>171</v>
      </c>
      <c r="B20" s="181">
        <v>8</v>
      </c>
      <c r="C20" s="180">
        <f t="shared" si="4"/>
        <v>4000</v>
      </c>
      <c r="D20" s="181">
        <v>2</v>
      </c>
      <c r="E20" s="180">
        <f t="shared" si="5"/>
        <v>800</v>
      </c>
      <c r="F20" s="181">
        <v>4</v>
      </c>
      <c r="G20" s="180">
        <f t="shared" si="6"/>
        <v>1200</v>
      </c>
      <c r="H20" s="181">
        <v>4</v>
      </c>
      <c r="I20" s="180">
        <f t="shared" si="7"/>
        <v>2400</v>
      </c>
      <c r="J20" s="181">
        <v>16</v>
      </c>
      <c r="K20" s="180">
        <f t="shared" si="8"/>
        <v>3200</v>
      </c>
      <c r="L20" s="181">
        <v>1</v>
      </c>
      <c r="M20" s="180">
        <f t="shared" si="9"/>
        <v>300</v>
      </c>
      <c r="N20" s="181">
        <v>1</v>
      </c>
      <c r="O20" s="180">
        <f t="shared" si="10"/>
        <v>400</v>
      </c>
      <c r="P20" s="181">
        <v>2</v>
      </c>
      <c r="Q20" s="180">
        <f t="shared" si="11"/>
        <v>700</v>
      </c>
      <c r="R20" s="182">
        <f t="shared" si="12"/>
        <v>13000</v>
      </c>
    </row>
    <row r="21" spans="1:18" ht="27.75" customHeight="1">
      <c r="A21" s="93" t="s">
        <v>166</v>
      </c>
      <c r="B21" s="181">
        <v>2</v>
      </c>
      <c r="C21" s="180">
        <f t="shared" si="4"/>
        <v>1000</v>
      </c>
      <c r="D21" s="181">
        <v>0</v>
      </c>
      <c r="E21" s="180">
        <f t="shared" si="5"/>
        <v>0</v>
      </c>
      <c r="F21" s="181">
        <v>0</v>
      </c>
      <c r="G21" s="180">
        <f t="shared" si="6"/>
        <v>0</v>
      </c>
      <c r="H21" s="181">
        <v>4</v>
      </c>
      <c r="I21" s="180">
        <f t="shared" si="7"/>
        <v>2400</v>
      </c>
      <c r="J21" s="181">
        <v>6</v>
      </c>
      <c r="K21" s="180">
        <f t="shared" si="8"/>
        <v>1200</v>
      </c>
      <c r="L21" s="181">
        <v>1</v>
      </c>
      <c r="M21" s="180">
        <f t="shared" si="9"/>
        <v>300</v>
      </c>
      <c r="N21" s="181">
        <v>1</v>
      </c>
      <c r="O21" s="180">
        <f t="shared" si="10"/>
        <v>400</v>
      </c>
      <c r="P21" s="181">
        <v>1</v>
      </c>
      <c r="Q21" s="180">
        <f t="shared" si="11"/>
        <v>350</v>
      </c>
      <c r="R21" s="182">
        <f t="shared" si="12"/>
        <v>5650</v>
      </c>
    </row>
    <row r="22" spans="1:18" ht="27.75" customHeight="1">
      <c r="A22" s="93" t="s">
        <v>167</v>
      </c>
      <c r="B22" s="181">
        <v>8</v>
      </c>
      <c r="C22" s="180">
        <f t="shared" si="4"/>
        <v>4000</v>
      </c>
      <c r="D22" s="181">
        <v>2</v>
      </c>
      <c r="E22" s="180">
        <f t="shared" si="5"/>
        <v>800</v>
      </c>
      <c r="F22" s="181">
        <v>4</v>
      </c>
      <c r="G22" s="180">
        <f t="shared" si="6"/>
        <v>1200</v>
      </c>
      <c r="H22" s="181">
        <v>4</v>
      </c>
      <c r="I22" s="180">
        <f t="shared" si="7"/>
        <v>2400</v>
      </c>
      <c r="J22" s="181">
        <v>6</v>
      </c>
      <c r="K22" s="180">
        <f t="shared" si="8"/>
        <v>1200</v>
      </c>
      <c r="L22" s="181">
        <v>1</v>
      </c>
      <c r="M22" s="180">
        <f t="shared" si="9"/>
        <v>300</v>
      </c>
      <c r="N22" s="181">
        <v>1</v>
      </c>
      <c r="O22" s="180">
        <f t="shared" si="10"/>
        <v>400</v>
      </c>
      <c r="P22" s="181">
        <v>2</v>
      </c>
      <c r="Q22" s="180">
        <f t="shared" si="11"/>
        <v>700</v>
      </c>
      <c r="R22" s="182">
        <f t="shared" si="12"/>
        <v>11000</v>
      </c>
    </row>
    <row r="23" spans="1:18" ht="27.75" customHeight="1">
      <c r="A23" s="93" t="s">
        <v>168</v>
      </c>
      <c r="B23" s="184">
        <v>0</v>
      </c>
      <c r="C23" s="180">
        <f t="shared" si="4"/>
        <v>0</v>
      </c>
      <c r="D23" s="184">
        <v>0</v>
      </c>
      <c r="E23" s="180">
        <f t="shared" si="5"/>
        <v>0</v>
      </c>
      <c r="F23" s="184">
        <v>0</v>
      </c>
      <c r="G23" s="180">
        <f t="shared" si="6"/>
        <v>0</v>
      </c>
      <c r="H23" s="184">
        <v>4</v>
      </c>
      <c r="I23" s="180">
        <f t="shared" si="7"/>
        <v>2400</v>
      </c>
      <c r="J23" s="184">
        <v>10</v>
      </c>
      <c r="K23" s="180">
        <f t="shared" si="8"/>
        <v>2000</v>
      </c>
      <c r="L23" s="181">
        <v>1</v>
      </c>
      <c r="M23" s="180">
        <f t="shared" si="9"/>
        <v>300</v>
      </c>
      <c r="N23" s="184">
        <v>1</v>
      </c>
      <c r="O23" s="180">
        <f t="shared" si="10"/>
        <v>400</v>
      </c>
      <c r="P23" s="184">
        <v>1</v>
      </c>
      <c r="Q23" s="180">
        <f t="shared" si="11"/>
        <v>350</v>
      </c>
      <c r="R23" s="182">
        <f t="shared" si="12"/>
        <v>5450</v>
      </c>
    </row>
    <row r="24" spans="1:18" ht="27.75" customHeight="1">
      <c r="A24" s="93" t="s">
        <v>169</v>
      </c>
      <c r="B24" s="181">
        <v>0</v>
      </c>
      <c r="C24" s="180">
        <f t="shared" si="4"/>
        <v>0</v>
      </c>
      <c r="D24" s="181">
        <v>3</v>
      </c>
      <c r="E24" s="180">
        <f t="shared" si="5"/>
        <v>1200</v>
      </c>
      <c r="F24" s="181">
        <v>4</v>
      </c>
      <c r="G24" s="180">
        <f t="shared" si="6"/>
        <v>1200</v>
      </c>
      <c r="H24" s="181">
        <v>4</v>
      </c>
      <c r="I24" s="180">
        <f t="shared" si="7"/>
        <v>2400</v>
      </c>
      <c r="J24" s="181">
        <v>8</v>
      </c>
      <c r="K24" s="180">
        <f t="shared" si="8"/>
        <v>1600</v>
      </c>
      <c r="L24" s="181">
        <v>1</v>
      </c>
      <c r="M24" s="180">
        <f t="shared" si="9"/>
        <v>300</v>
      </c>
      <c r="N24" s="181">
        <v>1</v>
      </c>
      <c r="O24" s="180">
        <f t="shared" si="10"/>
        <v>400</v>
      </c>
      <c r="P24" s="181">
        <v>1</v>
      </c>
      <c r="Q24" s="180">
        <f t="shared" si="11"/>
        <v>350</v>
      </c>
      <c r="R24" s="182">
        <f t="shared" si="12"/>
        <v>7450</v>
      </c>
    </row>
    <row r="25" spans="1:18" ht="27.75" customHeight="1">
      <c r="A25" s="93" t="s">
        <v>170</v>
      </c>
      <c r="B25" s="181"/>
      <c r="C25" s="180">
        <f t="shared" si="4"/>
        <v>0</v>
      </c>
      <c r="D25" s="181"/>
      <c r="E25" s="180">
        <f t="shared" si="5"/>
        <v>0</v>
      </c>
      <c r="F25" s="181"/>
      <c r="G25" s="180">
        <f t="shared" si="6"/>
        <v>0</v>
      </c>
      <c r="H25" s="181"/>
      <c r="I25" s="180">
        <f t="shared" si="7"/>
        <v>0</v>
      </c>
      <c r="J25" s="181">
        <v>4</v>
      </c>
      <c r="K25" s="180">
        <f t="shared" si="8"/>
        <v>800</v>
      </c>
      <c r="L25" s="181">
        <v>1</v>
      </c>
      <c r="M25" s="180">
        <f t="shared" si="9"/>
        <v>300</v>
      </c>
      <c r="N25" s="181">
        <v>1</v>
      </c>
      <c r="O25" s="180">
        <f t="shared" si="10"/>
        <v>400</v>
      </c>
      <c r="P25" s="181">
        <v>1</v>
      </c>
      <c r="Q25" s="180">
        <f t="shared" si="11"/>
        <v>350</v>
      </c>
      <c r="R25" s="182">
        <f t="shared" si="12"/>
        <v>1850</v>
      </c>
    </row>
    <row r="26" spans="1:18" ht="27.75" customHeight="1">
      <c r="A26" s="86" t="s">
        <v>180</v>
      </c>
      <c r="B26" s="179">
        <f>SUM(B27:B35)</f>
        <v>30</v>
      </c>
      <c r="C26" s="178">
        <f>SUM(C27:C35)</f>
        <v>15000</v>
      </c>
      <c r="D26" s="179">
        <f aca="true" t="shared" si="13" ref="D26:Q26">SUM(D27:D35)</f>
        <v>31</v>
      </c>
      <c r="E26" s="178">
        <f t="shared" si="13"/>
        <v>12400</v>
      </c>
      <c r="F26" s="179">
        <f t="shared" si="13"/>
        <v>24</v>
      </c>
      <c r="G26" s="178">
        <f t="shared" si="13"/>
        <v>7200</v>
      </c>
      <c r="H26" s="179">
        <f t="shared" si="13"/>
        <v>22</v>
      </c>
      <c r="I26" s="178">
        <f t="shared" si="13"/>
        <v>13200</v>
      </c>
      <c r="J26" s="179">
        <f t="shared" si="13"/>
        <v>60</v>
      </c>
      <c r="K26" s="178">
        <f t="shared" si="13"/>
        <v>12000</v>
      </c>
      <c r="L26" s="179">
        <f t="shared" si="13"/>
        <v>12</v>
      </c>
      <c r="M26" s="178">
        <f t="shared" si="13"/>
        <v>3600</v>
      </c>
      <c r="N26" s="179">
        <f t="shared" si="13"/>
        <v>13</v>
      </c>
      <c r="O26" s="178">
        <f t="shared" si="13"/>
        <v>5200</v>
      </c>
      <c r="P26" s="179">
        <f t="shared" si="13"/>
        <v>17</v>
      </c>
      <c r="Q26" s="178">
        <f t="shared" si="13"/>
        <v>5950</v>
      </c>
      <c r="R26" s="178">
        <f>(C26+E26+G26+I26+K26+M26+O26+Q26)</f>
        <v>74550</v>
      </c>
    </row>
    <row r="27" spans="1:18" ht="27.75" customHeight="1">
      <c r="A27" s="93" t="s">
        <v>173</v>
      </c>
      <c r="B27" s="185">
        <v>0</v>
      </c>
      <c r="C27" s="180">
        <f aca="true" t="shared" si="14" ref="C27:C35">B27*500</f>
        <v>0</v>
      </c>
      <c r="D27" s="185">
        <v>0</v>
      </c>
      <c r="E27" s="180">
        <f aca="true" t="shared" si="15" ref="E27:E35">D27*400</f>
        <v>0</v>
      </c>
      <c r="F27" s="185">
        <v>0</v>
      </c>
      <c r="G27" s="180">
        <f aca="true" t="shared" si="16" ref="G27:G35">F27*300</f>
        <v>0</v>
      </c>
      <c r="H27" s="185">
        <v>4</v>
      </c>
      <c r="I27" s="180">
        <f aca="true" t="shared" si="17" ref="I27:I35">H27*600</f>
        <v>2400</v>
      </c>
      <c r="J27" s="185">
        <v>0</v>
      </c>
      <c r="K27" s="180">
        <f aca="true" t="shared" si="18" ref="K27:K35">J27*200</f>
        <v>0</v>
      </c>
      <c r="L27" s="185">
        <v>2</v>
      </c>
      <c r="M27" s="180">
        <f aca="true" t="shared" si="19" ref="M27:M35">L27*300</f>
        <v>600</v>
      </c>
      <c r="N27" s="185">
        <v>1</v>
      </c>
      <c r="O27" s="180">
        <f aca="true" t="shared" si="20" ref="O27:O35">N27*400</f>
        <v>400</v>
      </c>
      <c r="P27" s="185">
        <v>2</v>
      </c>
      <c r="Q27" s="180">
        <f aca="true" t="shared" si="21" ref="Q27:Q35">P27*350</f>
        <v>700</v>
      </c>
      <c r="R27" s="182">
        <f t="shared" si="12"/>
        <v>4100</v>
      </c>
    </row>
    <row r="28" spans="1:18" ht="27.75" customHeight="1">
      <c r="A28" s="102" t="s">
        <v>185</v>
      </c>
      <c r="B28" s="186">
        <v>4</v>
      </c>
      <c r="C28" s="180">
        <f t="shared" si="14"/>
        <v>2000</v>
      </c>
      <c r="D28" s="186">
        <v>6</v>
      </c>
      <c r="E28" s="180">
        <f t="shared" si="15"/>
        <v>2400</v>
      </c>
      <c r="F28" s="186">
        <v>1</v>
      </c>
      <c r="G28" s="180">
        <f t="shared" si="16"/>
        <v>300</v>
      </c>
      <c r="H28" s="186">
        <v>4</v>
      </c>
      <c r="I28" s="180">
        <f t="shared" si="17"/>
        <v>2400</v>
      </c>
      <c r="J28" s="186">
        <v>0</v>
      </c>
      <c r="K28" s="180">
        <f t="shared" si="18"/>
        <v>0</v>
      </c>
      <c r="L28" s="186">
        <v>2</v>
      </c>
      <c r="M28" s="180">
        <f t="shared" si="19"/>
        <v>600</v>
      </c>
      <c r="N28" s="186">
        <v>2</v>
      </c>
      <c r="O28" s="180">
        <f t="shared" si="20"/>
        <v>800</v>
      </c>
      <c r="P28" s="186">
        <v>2</v>
      </c>
      <c r="Q28" s="180">
        <f t="shared" si="21"/>
        <v>700</v>
      </c>
      <c r="R28" s="182">
        <f t="shared" si="12"/>
        <v>9200</v>
      </c>
    </row>
    <row r="29" spans="1:18" ht="27.75" customHeight="1">
      <c r="A29" s="102" t="s">
        <v>186</v>
      </c>
      <c r="B29" s="186">
        <v>6</v>
      </c>
      <c r="C29" s="180">
        <f t="shared" si="14"/>
        <v>3000</v>
      </c>
      <c r="D29" s="186">
        <v>3</v>
      </c>
      <c r="E29" s="180">
        <f t="shared" si="15"/>
        <v>1200</v>
      </c>
      <c r="F29" s="186">
        <v>2</v>
      </c>
      <c r="G29" s="180">
        <f t="shared" si="16"/>
        <v>600</v>
      </c>
      <c r="H29" s="186">
        <v>2</v>
      </c>
      <c r="I29" s="180">
        <f t="shared" si="17"/>
        <v>1200</v>
      </c>
      <c r="J29" s="186">
        <v>8</v>
      </c>
      <c r="K29" s="180">
        <f t="shared" si="18"/>
        <v>1600</v>
      </c>
      <c r="L29" s="186">
        <v>1</v>
      </c>
      <c r="M29" s="180">
        <f t="shared" si="19"/>
        <v>300</v>
      </c>
      <c r="N29" s="186">
        <v>2</v>
      </c>
      <c r="O29" s="180">
        <f t="shared" si="20"/>
        <v>800</v>
      </c>
      <c r="P29" s="186">
        <v>2</v>
      </c>
      <c r="Q29" s="180">
        <f t="shared" si="21"/>
        <v>700</v>
      </c>
      <c r="R29" s="182">
        <f t="shared" si="12"/>
        <v>9400</v>
      </c>
    </row>
    <row r="30" spans="1:18" ht="27.75" customHeight="1">
      <c r="A30" s="102" t="s">
        <v>187</v>
      </c>
      <c r="B30" s="186">
        <v>6</v>
      </c>
      <c r="C30" s="180">
        <f t="shared" si="14"/>
        <v>3000</v>
      </c>
      <c r="D30" s="187">
        <v>1</v>
      </c>
      <c r="E30" s="180">
        <f t="shared" si="15"/>
        <v>400</v>
      </c>
      <c r="F30" s="187">
        <v>3</v>
      </c>
      <c r="G30" s="180">
        <f t="shared" si="16"/>
        <v>900</v>
      </c>
      <c r="H30" s="187">
        <v>2</v>
      </c>
      <c r="I30" s="180">
        <f t="shared" si="17"/>
        <v>1200</v>
      </c>
      <c r="J30" s="187">
        <v>0</v>
      </c>
      <c r="K30" s="180">
        <f t="shared" si="18"/>
        <v>0</v>
      </c>
      <c r="L30" s="186">
        <v>1</v>
      </c>
      <c r="M30" s="180">
        <f t="shared" si="19"/>
        <v>300</v>
      </c>
      <c r="N30" s="187">
        <v>1</v>
      </c>
      <c r="O30" s="180">
        <f t="shared" si="20"/>
        <v>400</v>
      </c>
      <c r="P30" s="187">
        <v>2</v>
      </c>
      <c r="Q30" s="180">
        <f t="shared" si="21"/>
        <v>700</v>
      </c>
      <c r="R30" s="182">
        <f t="shared" si="12"/>
        <v>6900</v>
      </c>
    </row>
    <row r="31" spans="1:18" ht="27.75" customHeight="1">
      <c r="A31" s="102" t="s">
        <v>188</v>
      </c>
      <c r="B31" s="186"/>
      <c r="C31" s="180">
        <f t="shared" si="14"/>
        <v>0</v>
      </c>
      <c r="D31" s="186">
        <v>6</v>
      </c>
      <c r="E31" s="180">
        <f t="shared" si="15"/>
        <v>2400</v>
      </c>
      <c r="F31" s="186">
        <v>4</v>
      </c>
      <c r="G31" s="180">
        <f t="shared" si="16"/>
        <v>1200</v>
      </c>
      <c r="H31" s="186">
        <v>2</v>
      </c>
      <c r="I31" s="180">
        <f t="shared" si="17"/>
        <v>1200</v>
      </c>
      <c r="J31" s="186">
        <v>12</v>
      </c>
      <c r="K31" s="180">
        <f t="shared" si="18"/>
        <v>2400</v>
      </c>
      <c r="L31" s="186">
        <v>1</v>
      </c>
      <c r="M31" s="180">
        <f t="shared" si="19"/>
        <v>300</v>
      </c>
      <c r="N31" s="186">
        <v>2</v>
      </c>
      <c r="O31" s="180">
        <f t="shared" si="20"/>
        <v>800</v>
      </c>
      <c r="P31" s="186">
        <v>2</v>
      </c>
      <c r="Q31" s="180">
        <f t="shared" si="21"/>
        <v>700</v>
      </c>
      <c r="R31" s="182">
        <f t="shared" si="12"/>
        <v>9000</v>
      </c>
    </row>
    <row r="32" spans="1:18" ht="27.75" customHeight="1">
      <c r="A32" s="102" t="s">
        <v>258</v>
      </c>
      <c r="B32" s="186">
        <v>4</v>
      </c>
      <c r="C32" s="180">
        <f t="shared" si="14"/>
        <v>2000</v>
      </c>
      <c r="D32" s="186">
        <v>1</v>
      </c>
      <c r="E32" s="180">
        <f t="shared" si="15"/>
        <v>400</v>
      </c>
      <c r="F32" s="186">
        <v>3</v>
      </c>
      <c r="G32" s="180">
        <f t="shared" si="16"/>
        <v>900</v>
      </c>
      <c r="H32" s="186">
        <v>2</v>
      </c>
      <c r="I32" s="180">
        <f t="shared" si="17"/>
        <v>1200</v>
      </c>
      <c r="J32" s="186">
        <v>8</v>
      </c>
      <c r="K32" s="180">
        <f t="shared" si="18"/>
        <v>1600</v>
      </c>
      <c r="L32" s="186">
        <v>1</v>
      </c>
      <c r="M32" s="180">
        <f t="shared" si="19"/>
        <v>300</v>
      </c>
      <c r="N32" s="186">
        <v>1</v>
      </c>
      <c r="O32" s="180">
        <f t="shared" si="20"/>
        <v>400</v>
      </c>
      <c r="P32" s="186">
        <v>2</v>
      </c>
      <c r="Q32" s="180">
        <f t="shared" si="21"/>
        <v>700</v>
      </c>
      <c r="R32" s="182">
        <f t="shared" si="12"/>
        <v>7500</v>
      </c>
    </row>
    <row r="33" spans="1:18" ht="27.75" customHeight="1">
      <c r="A33" s="102" t="s">
        <v>251</v>
      </c>
      <c r="B33" s="186">
        <v>6</v>
      </c>
      <c r="C33" s="180">
        <f t="shared" si="14"/>
        <v>3000</v>
      </c>
      <c r="D33" s="186">
        <v>4</v>
      </c>
      <c r="E33" s="180">
        <f t="shared" si="15"/>
        <v>1600</v>
      </c>
      <c r="F33" s="186">
        <v>2</v>
      </c>
      <c r="G33" s="180">
        <f t="shared" si="16"/>
        <v>600</v>
      </c>
      <c r="H33" s="186">
        <v>1</v>
      </c>
      <c r="I33" s="180">
        <f t="shared" si="17"/>
        <v>600</v>
      </c>
      <c r="J33" s="186">
        <v>16</v>
      </c>
      <c r="K33" s="180">
        <f t="shared" si="18"/>
        <v>3200</v>
      </c>
      <c r="L33" s="186">
        <v>1</v>
      </c>
      <c r="M33" s="180">
        <f t="shared" si="19"/>
        <v>300</v>
      </c>
      <c r="N33" s="186">
        <v>1</v>
      </c>
      <c r="O33" s="180">
        <f t="shared" si="20"/>
        <v>400</v>
      </c>
      <c r="P33" s="186">
        <v>1</v>
      </c>
      <c r="Q33" s="180">
        <f t="shared" si="21"/>
        <v>350</v>
      </c>
      <c r="R33" s="182">
        <f t="shared" si="12"/>
        <v>10050</v>
      </c>
    </row>
    <row r="34" spans="1:18" ht="27.75" customHeight="1">
      <c r="A34" s="102" t="s">
        <v>252</v>
      </c>
      <c r="B34" s="188">
        <v>0</v>
      </c>
      <c r="C34" s="180">
        <f t="shared" si="14"/>
        <v>0</v>
      </c>
      <c r="D34" s="188">
        <v>4</v>
      </c>
      <c r="E34" s="180">
        <f t="shared" si="15"/>
        <v>1600</v>
      </c>
      <c r="F34" s="188">
        <v>5</v>
      </c>
      <c r="G34" s="180">
        <f t="shared" si="16"/>
        <v>1500</v>
      </c>
      <c r="H34" s="188">
        <v>1</v>
      </c>
      <c r="I34" s="180">
        <f t="shared" si="17"/>
        <v>600</v>
      </c>
      <c r="J34" s="188">
        <v>8</v>
      </c>
      <c r="K34" s="180">
        <f t="shared" si="18"/>
        <v>1600</v>
      </c>
      <c r="L34" s="186">
        <v>1</v>
      </c>
      <c r="M34" s="180">
        <f t="shared" si="19"/>
        <v>300</v>
      </c>
      <c r="N34" s="188">
        <v>1</v>
      </c>
      <c r="O34" s="180">
        <f t="shared" si="20"/>
        <v>400</v>
      </c>
      <c r="P34" s="188">
        <v>2</v>
      </c>
      <c r="Q34" s="180">
        <f t="shared" si="21"/>
        <v>700</v>
      </c>
      <c r="R34" s="182">
        <f t="shared" si="12"/>
        <v>6700</v>
      </c>
    </row>
    <row r="35" spans="1:18" ht="27.75" customHeight="1">
      <c r="A35" s="102" t="s">
        <v>254</v>
      </c>
      <c r="B35" s="186">
        <v>4</v>
      </c>
      <c r="C35" s="180">
        <f t="shared" si="14"/>
        <v>2000</v>
      </c>
      <c r="D35" s="188">
        <v>6</v>
      </c>
      <c r="E35" s="180">
        <f t="shared" si="15"/>
        <v>2400</v>
      </c>
      <c r="F35" s="188">
        <v>4</v>
      </c>
      <c r="G35" s="180">
        <f t="shared" si="16"/>
        <v>1200</v>
      </c>
      <c r="H35" s="188">
        <v>4</v>
      </c>
      <c r="I35" s="180">
        <f t="shared" si="17"/>
        <v>2400</v>
      </c>
      <c r="J35" s="188">
        <v>8</v>
      </c>
      <c r="K35" s="180">
        <f t="shared" si="18"/>
        <v>1600</v>
      </c>
      <c r="L35" s="186">
        <v>2</v>
      </c>
      <c r="M35" s="180">
        <f t="shared" si="19"/>
        <v>600</v>
      </c>
      <c r="N35" s="188">
        <v>2</v>
      </c>
      <c r="O35" s="180">
        <f t="shared" si="20"/>
        <v>800</v>
      </c>
      <c r="P35" s="188">
        <v>2</v>
      </c>
      <c r="Q35" s="180">
        <f t="shared" si="21"/>
        <v>700</v>
      </c>
      <c r="R35" s="182">
        <f t="shared" si="12"/>
        <v>11700</v>
      </c>
    </row>
    <row r="36" spans="1:20" ht="27.75" customHeight="1">
      <c r="A36" s="172" t="s">
        <v>112</v>
      </c>
      <c r="B36" s="190">
        <f aca="true" t="shared" si="22" ref="B36:Q36">B26+B16+B12+B7+B6</f>
        <v>74</v>
      </c>
      <c r="C36" s="189">
        <f t="shared" si="22"/>
        <v>36500</v>
      </c>
      <c r="D36" s="190">
        <f t="shared" si="22"/>
        <v>52</v>
      </c>
      <c r="E36" s="189">
        <f t="shared" si="22"/>
        <v>20800</v>
      </c>
      <c r="F36" s="190">
        <f t="shared" si="22"/>
        <v>47</v>
      </c>
      <c r="G36" s="189">
        <f t="shared" si="22"/>
        <v>14100</v>
      </c>
      <c r="H36" s="190">
        <f t="shared" si="22"/>
        <v>53</v>
      </c>
      <c r="I36" s="189">
        <f t="shared" si="22"/>
        <v>31800</v>
      </c>
      <c r="J36" s="190">
        <f t="shared" si="22"/>
        <v>192</v>
      </c>
      <c r="K36" s="189">
        <f t="shared" si="22"/>
        <v>38400</v>
      </c>
      <c r="L36" s="190">
        <f t="shared" si="22"/>
        <v>31</v>
      </c>
      <c r="M36" s="189">
        <f t="shared" si="22"/>
        <v>9300</v>
      </c>
      <c r="N36" s="190">
        <f t="shared" si="22"/>
        <v>33</v>
      </c>
      <c r="O36" s="189">
        <f t="shared" si="22"/>
        <v>13200</v>
      </c>
      <c r="P36" s="190">
        <f t="shared" si="22"/>
        <v>41</v>
      </c>
      <c r="Q36" s="189">
        <f t="shared" si="22"/>
        <v>14350</v>
      </c>
      <c r="R36" s="189">
        <f>R26+R16+R12+R7+R6</f>
        <v>178450</v>
      </c>
      <c r="T36" s="177"/>
    </row>
    <row r="37" spans="1:20" ht="27.75" customHeight="1">
      <c r="A37" s="171" t="s">
        <v>205</v>
      </c>
      <c r="B37" s="186">
        <f aca="true" t="shared" si="23" ref="B37:R37">B6+B8+B13+B17+B27</f>
        <v>3</v>
      </c>
      <c r="C37" s="191">
        <f t="shared" si="23"/>
        <v>1500</v>
      </c>
      <c r="D37" s="186">
        <f t="shared" si="23"/>
        <v>2</v>
      </c>
      <c r="E37" s="191">
        <f t="shared" si="23"/>
        <v>800</v>
      </c>
      <c r="F37" s="186">
        <f t="shared" si="23"/>
        <v>1</v>
      </c>
      <c r="G37" s="191">
        <f t="shared" si="23"/>
        <v>300</v>
      </c>
      <c r="H37" s="186">
        <f t="shared" si="23"/>
        <v>6</v>
      </c>
      <c r="I37" s="191">
        <f t="shared" si="23"/>
        <v>3600</v>
      </c>
      <c r="J37" s="186">
        <f t="shared" si="23"/>
        <v>12</v>
      </c>
      <c r="K37" s="191">
        <f t="shared" si="23"/>
        <v>2400</v>
      </c>
      <c r="L37" s="186">
        <f t="shared" si="23"/>
        <v>6</v>
      </c>
      <c r="M37" s="191">
        <f t="shared" si="23"/>
        <v>1800</v>
      </c>
      <c r="N37" s="186">
        <f t="shared" si="23"/>
        <v>5</v>
      </c>
      <c r="O37" s="191">
        <f t="shared" si="23"/>
        <v>2000</v>
      </c>
      <c r="P37" s="186">
        <f t="shared" si="23"/>
        <v>8</v>
      </c>
      <c r="Q37" s="191">
        <f t="shared" si="23"/>
        <v>2800</v>
      </c>
      <c r="R37" s="191">
        <f t="shared" si="23"/>
        <v>15200</v>
      </c>
      <c r="T37" s="177"/>
    </row>
    <row r="38" spans="1:20" ht="27.75" customHeight="1">
      <c r="A38" s="171" t="s">
        <v>206</v>
      </c>
      <c r="B38" s="186">
        <f>B36-B37</f>
        <v>71</v>
      </c>
      <c r="C38" s="191">
        <f>C36-C37</f>
        <v>35000</v>
      </c>
      <c r="D38" s="186">
        <f aca="true" t="shared" si="24" ref="D38:R38">D36-D37</f>
        <v>50</v>
      </c>
      <c r="E38" s="191">
        <f t="shared" si="24"/>
        <v>20000</v>
      </c>
      <c r="F38" s="186">
        <f t="shared" si="24"/>
        <v>46</v>
      </c>
      <c r="G38" s="191">
        <f t="shared" si="24"/>
        <v>13800</v>
      </c>
      <c r="H38" s="186">
        <f t="shared" si="24"/>
        <v>47</v>
      </c>
      <c r="I38" s="191">
        <f t="shared" si="24"/>
        <v>28200</v>
      </c>
      <c r="J38" s="186">
        <f t="shared" si="24"/>
        <v>180</v>
      </c>
      <c r="K38" s="191">
        <f t="shared" si="24"/>
        <v>36000</v>
      </c>
      <c r="L38" s="186">
        <f t="shared" si="24"/>
        <v>25</v>
      </c>
      <c r="M38" s="191">
        <f t="shared" si="24"/>
        <v>7500</v>
      </c>
      <c r="N38" s="186">
        <f t="shared" si="24"/>
        <v>28</v>
      </c>
      <c r="O38" s="191">
        <f t="shared" si="24"/>
        <v>11200</v>
      </c>
      <c r="P38" s="186">
        <f t="shared" si="24"/>
        <v>33</v>
      </c>
      <c r="Q38" s="191">
        <f t="shared" si="24"/>
        <v>11550</v>
      </c>
      <c r="R38" s="191">
        <f t="shared" si="24"/>
        <v>163250</v>
      </c>
      <c r="T38" s="177"/>
    </row>
    <row r="39" ht="12.75">
      <c r="T39" s="177"/>
    </row>
  </sheetData>
  <sheetProtection/>
  <mergeCells count="1">
    <mergeCell ref="A1:R1"/>
  </mergeCells>
  <printOptions horizontalCentered="1"/>
  <pageMargins left="0.25" right="0.25" top="0.75" bottom="0.5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Quang Tri 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Hienlx</dc:creator>
  <cp:keywords/>
  <dc:description/>
  <cp:lastModifiedBy>user</cp:lastModifiedBy>
  <cp:lastPrinted>2018-06-21T02:41:56Z</cp:lastPrinted>
  <dcterms:created xsi:type="dcterms:W3CDTF">2017-07-30T14:16:00Z</dcterms:created>
  <dcterms:modified xsi:type="dcterms:W3CDTF">2018-06-21T02:42:37Z</dcterms:modified>
  <cp:category/>
  <cp:version/>
  <cp:contentType/>
  <cp:contentStatus/>
</cp:coreProperties>
</file>